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marti\OneDrive\Dokumenter\Konsulent\DFFalment\Budget\"/>
    </mc:Choice>
  </mc:AlternateContent>
  <xr:revisionPtr revIDLastSave="13" documentId="13_ncr:1_{CA5D3FEE-A1D2-4641-B2C2-120224897D03}" xr6:coauthVersionLast="43" xr6:coauthVersionMax="43" xr10:uidLastSave="{6102B777-DFC7-4F8A-B9B2-4E79BF062E44}"/>
  <bookViews>
    <workbookView xWindow="-120" yWindow="-120" windowWidth="29040" windowHeight="15840" tabRatio="464" xr2:uid="{00000000-000D-0000-FFFF-FFFF00000000}"/>
  </bookViews>
  <sheets>
    <sheet name="DFF Budget 2019 - 2021" sheetId="7" r:id="rId1"/>
    <sheet name="2018-elite" sheetId="12" r:id="rId2"/>
    <sheet name="2018 Sommerlejr" sheetId="20" r:id="rId3"/>
    <sheet name="2017 Budget - sommerlejr" sheetId="8" r:id="rId4"/>
    <sheet name="DFF Budget 2014-15" sheetId="9" r:id="rId5"/>
  </sheets>
  <definedNames>
    <definedName name="_xlnm._FilterDatabase" localSheetId="4" hidden="1">'DFF Budget 2014-15'!$A$1:$L$1</definedName>
    <definedName name="_xlnm._FilterDatabase" localSheetId="0" hidden="1">'DFF Budget 2019 - 2021'!$A$1:$K$1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9" i="7" l="1"/>
  <c r="R272" i="7" l="1"/>
  <c r="Q272" i="7"/>
  <c r="P272" i="7"/>
  <c r="P181" i="7" l="1"/>
  <c r="P180" i="7" l="1"/>
  <c r="R216" i="7" l="1"/>
  <c r="R211" i="7" s="1"/>
  <c r="Q216" i="7"/>
  <c r="Q217" i="7" s="1"/>
  <c r="Q210" i="7" s="1"/>
  <c r="P216" i="7"/>
  <c r="P211" i="7" s="1"/>
  <c r="R175" i="7"/>
  <c r="Q175" i="7"/>
  <c r="P175" i="7"/>
  <c r="Q211" i="7" l="1"/>
  <c r="R217" i="7"/>
  <c r="R210" i="7" s="1"/>
  <c r="P217" i="7"/>
  <c r="P210" i="7" s="1"/>
  <c r="O24" i="7" l="1"/>
  <c r="O23" i="7"/>
  <c r="R207" i="7"/>
  <c r="Q207" i="7"/>
  <c r="P207" i="7"/>
  <c r="R203" i="7"/>
  <c r="Q203" i="7"/>
  <c r="P203" i="7"/>
  <c r="Q209" i="7" l="1"/>
  <c r="Q198" i="7" s="1"/>
  <c r="P209" i="7"/>
  <c r="P198" i="7" s="1"/>
  <c r="R209" i="7"/>
  <c r="R198" i="7" s="1"/>
  <c r="R199" i="7"/>
  <c r="Q199" i="7"/>
  <c r="P199" i="7"/>
  <c r="O289" i="7" l="1"/>
  <c r="O292" i="7" l="1"/>
  <c r="O290" i="7"/>
  <c r="O291" i="7"/>
  <c r="O296" i="7"/>
  <c r="O297" i="7"/>
  <c r="O108" i="7"/>
  <c r="O344" i="7"/>
  <c r="O340" i="7" s="1"/>
  <c r="N344" i="7"/>
  <c r="N340" i="7" s="1"/>
  <c r="M344" i="7"/>
  <c r="M340" i="7" s="1"/>
  <c r="M273" i="7"/>
  <c r="O360" i="7"/>
  <c r="O361" i="7"/>
  <c r="N362" i="7"/>
  <c r="N359" i="7" s="1"/>
  <c r="M362" i="7"/>
  <c r="M359" i="7" s="1"/>
  <c r="M43" i="7"/>
  <c r="M35" i="7" s="1"/>
  <c r="M25" i="7"/>
  <c r="M18" i="7" s="1"/>
  <c r="O375" i="7"/>
  <c r="O357" i="7"/>
  <c r="O355" i="7" s="1"/>
  <c r="N357" i="7"/>
  <c r="N355" i="7" s="1"/>
  <c r="M357" i="7"/>
  <c r="M355" i="7" s="1"/>
  <c r="O350" i="7"/>
  <c r="O349" i="7"/>
  <c r="N351" i="7"/>
  <c r="N348" i="7" s="1"/>
  <c r="M351" i="7"/>
  <c r="M348" i="7" s="1"/>
  <c r="O337" i="7"/>
  <c r="O335" i="7"/>
  <c r="O334" i="7"/>
  <c r="O333" i="7"/>
  <c r="N338" i="7"/>
  <c r="M314" i="7"/>
  <c r="M305" i="7" s="1"/>
  <c r="N314" i="7"/>
  <c r="N305" i="7" s="1"/>
  <c r="M338" i="7"/>
  <c r="M322" i="7" s="1"/>
  <c r="N320" i="7"/>
  <c r="N316" i="7" s="1"/>
  <c r="M320" i="7"/>
  <c r="M316" i="7" s="1"/>
  <c r="O317" i="7"/>
  <c r="O318" i="7"/>
  <c r="O319" i="7"/>
  <c r="O313" i="7"/>
  <c r="O312" i="7"/>
  <c r="O362" i="7" l="1"/>
  <c r="O359" i="7" s="1"/>
  <c r="M353" i="7"/>
  <c r="M346" i="7"/>
  <c r="M304" i="7" s="1"/>
  <c r="N346" i="7"/>
  <c r="N304" i="7" s="1"/>
  <c r="N353" i="7"/>
  <c r="O314" i="7"/>
  <c r="O305" i="7" s="1"/>
  <c r="O338" i="7"/>
  <c r="O351" i="7"/>
  <c r="O348" i="7" s="1"/>
  <c r="N322" i="7"/>
  <c r="O320" i="7"/>
  <c r="O316" i="7" s="1"/>
  <c r="O7" i="7"/>
  <c r="O322" i="7" l="1"/>
  <c r="O346" i="7"/>
  <c r="O304" i="7" s="1"/>
  <c r="O353" i="7"/>
  <c r="R6" i="7"/>
  <c r="Q6" i="7"/>
  <c r="P6" i="7"/>
  <c r="N25" i="7" l="1"/>
  <c r="N18" i="7" s="1"/>
  <c r="I25" i="7"/>
  <c r="P16" i="7" l="1"/>
  <c r="P5" i="7" s="1"/>
  <c r="L6" i="7"/>
  <c r="L16" i="7" s="1"/>
  <c r="Q273" i="7"/>
  <c r="Q265" i="7" s="1"/>
  <c r="R273" i="7"/>
  <c r="R265" i="7" s="1"/>
  <c r="L272" i="7"/>
  <c r="L273" i="7" s="1"/>
  <c r="L366" i="7"/>
  <c r="L42" i="7"/>
  <c r="L41" i="7"/>
  <c r="L37" i="7"/>
  <c r="R335" i="7"/>
  <c r="Q335" i="7"/>
  <c r="P335" i="7"/>
  <c r="L335" i="7"/>
  <c r="L312" i="7"/>
  <c r="L314" i="7" s="1"/>
  <c r="R50" i="7"/>
  <c r="R52" i="7" s="1"/>
  <c r="R49" i="7" s="1"/>
  <c r="Q50" i="7"/>
  <c r="Q52" i="7" s="1"/>
  <c r="Q49" i="7" s="1"/>
  <c r="P50" i="7"/>
  <c r="P52" i="7" s="1"/>
  <c r="L20" i="7"/>
  <c r="L19" i="7"/>
  <c r="L175" i="7"/>
  <c r="L183" i="7" s="1"/>
  <c r="L22" i="7"/>
  <c r="L21" i="7"/>
  <c r="C4" i="20"/>
  <c r="C33" i="20"/>
  <c r="C5" i="20" s="1"/>
  <c r="K2" i="20"/>
  <c r="N6" i="20"/>
  <c r="K6" i="20" s="1"/>
  <c r="C15" i="20"/>
  <c r="C16" i="20"/>
  <c r="N378" i="7"/>
  <c r="N368" i="7" s="1"/>
  <c r="M378" i="7"/>
  <c r="M368" i="7" s="1"/>
  <c r="O366" i="7"/>
  <c r="N298" i="7"/>
  <c r="N295" i="7" s="1"/>
  <c r="M298" i="7"/>
  <c r="M295" i="7" s="1"/>
  <c r="N293" i="7"/>
  <c r="N288" i="7" s="1"/>
  <c r="M293" i="7"/>
  <c r="N286" i="7"/>
  <c r="N282" i="7" s="1"/>
  <c r="O278" i="7"/>
  <c r="O277" i="7"/>
  <c r="O276" i="7"/>
  <c r="O272" i="7"/>
  <c r="O271" i="7"/>
  <c r="O270" i="7"/>
  <c r="O269" i="7"/>
  <c r="O268" i="7"/>
  <c r="O267" i="7"/>
  <c r="O266" i="7"/>
  <c r="N280" i="7"/>
  <c r="M280" i="7"/>
  <c r="M275" i="7" s="1"/>
  <c r="N273" i="7"/>
  <c r="M265" i="7"/>
  <c r="N302" i="7"/>
  <c r="M302" i="7"/>
  <c r="N238" i="7"/>
  <c r="M238" i="7"/>
  <c r="O237" i="7"/>
  <c r="O236" i="7"/>
  <c r="O235" i="7"/>
  <c r="O234" i="7"/>
  <c r="N232" i="7"/>
  <c r="N225" i="7" s="1"/>
  <c r="M232" i="7"/>
  <c r="M225" i="7" s="1"/>
  <c r="O231" i="7"/>
  <c r="O230" i="7"/>
  <c r="O229" i="7"/>
  <c r="O228" i="7"/>
  <c r="O227" i="7"/>
  <c r="O226" i="7"/>
  <c r="O221" i="7"/>
  <c r="O220" i="7"/>
  <c r="N222" i="7"/>
  <c r="M222" i="7"/>
  <c r="N219" i="7"/>
  <c r="M219" i="7"/>
  <c r="O195" i="7"/>
  <c r="O194" i="7"/>
  <c r="N192" i="7"/>
  <c r="N197" i="7" s="1"/>
  <c r="M192" i="7"/>
  <c r="M197" i="7" s="1"/>
  <c r="M186" i="7" s="1"/>
  <c r="O191" i="7"/>
  <c r="O190" i="7"/>
  <c r="O189" i="7"/>
  <c r="O188" i="7"/>
  <c r="N183" i="7"/>
  <c r="N168" i="7" s="1"/>
  <c r="M183" i="7"/>
  <c r="M168" i="7" s="1"/>
  <c r="O182" i="7"/>
  <c r="O181" i="7"/>
  <c r="O180" i="7"/>
  <c r="O179" i="7"/>
  <c r="O178" i="7"/>
  <c r="O177" i="7"/>
  <c r="O176" i="7"/>
  <c r="O175" i="7"/>
  <c r="O174" i="7"/>
  <c r="O173" i="7"/>
  <c r="O172" i="7"/>
  <c r="O171" i="7"/>
  <c r="O170" i="7"/>
  <c r="O169" i="7"/>
  <c r="N166" i="7"/>
  <c r="N161" i="7" s="1"/>
  <c r="M166" i="7"/>
  <c r="O165" i="7"/>
  <c r="O164" i="7"/>
  <c r="O163" i="7"/>
  <c r="O162" i="7"/>
  <c r="N157" i="7"/>
  <c r="M157" i="7"/>
  <c r="O156" i="7"/>
  <c r="O155" i="7"/>
  <c r="O154" i="7"/>
  <c r="O153" i="7"/>
  <c r="O152" i="7"/>
  <c r="O151" i="7"/>
  <c r="O150" i="7"/>
  <c r="O146" i="7"/>
  <c r="O145" i="7"/>
  <c r="O144" i="7"/>
  <c r="O143" i="7"/>
  <c r="N147" i="7"/>
  <c r="N142" i="7" s="1"/>
  <c r="M147" i="7"/>
  <c r="O139" i="7"/>
  <c r="O138" i="7"/>
  <c r="O137" i="7"/>
  <c r="O136" i="7"/>
  <c r="N140" i="7"/>
  <c r="N135" i="7" s="1"/>
  <c r="M140" i="7"/>
  <c r="O132" i="7"/>
  <c r="O131" i="7"/>
  <c r="O130" i="7"/>
  <c r="N133" i="7"/>
  <c r="N129" i="7" s="1"/>
  <c r="M133" i="7"/>
  <c r="M129" i="7" s="1"/>
  <c r="O124" i="7"/>
  <c r="O123" i="7"/>
  <c r="O122" i="7"/>
  <c r="O121" i="7"/>
  <c r="O120" i="7"/>
  <c r="O119" i="7"/>
  <c r="N125" i="7"/>
  <c r="N118" i="7" s="1"/>
  <c r="M125" i="7"/>
  <c r="M118" i="7" s="1"/>
  <c r="N116" i="7"/>
  <c r="M116" i="7"/>
  <c r="M112" i="7" s="1"/>
  <c r="O115" i="7"/>
  <c r="O114" i="7"/>
  <c r="O113" i="7"/>
  <c r="O107" i="7"/>
  <c r="O104" i="7"/>
  <c r="O103" i="7"/>
  <c r="O102" i="7"/>
  <c r="O101" i="7"/>
  <c r="O100" i="7"/>
  <c r="N105" i="7"/>
  <c r="N99" i="7" s="1"/>
  <c r="M105" i="7"/>
  <c r="O96" i="7"/>
  <c r="O95" i="7"/>
  <c r="O94" i="7"/>
  <c r="N97" i="7"/>
  <c r="N93" i="7" s="1"/>
  <c r="M97" i="7"/>
  <c r="N91" i="7"/>
  <c r="N87" i="7" s="1"/>
  <c r="M91" i="7"/>
  <c r="O90" i="7"/>
  <c r="O89" i="7"/>
  <c r="O88" i="7"/>
  <c r="O84" i="7"/>
  <c r="O83" i="7"/>
  <c r="O82" i="7"/>
  <c r="N85" i="7"/>
  <c r="N81" i="7" s="1"/>
  <c r="M85" i="7"/>
  <c r="M81" i="7" s="1"/>
  <c r="N43" i="7"/>
  <c r="N35" i="7" s="1"/>
  <c r="N33" i="7"/>
  <c r="N31" i="7" s="1"/>
  <c r="M33" i="7"/>
  <c r="M31" i="7" s="1"/>
  <c r="N29" i="7"/>
  <c r="M29" i="7"/>
  <c r="N16" i="7"/>
  <c r="N5" i="7" s="1"/>
  <c r="M16" i="7"/>
  <c r="M5" i="7" s="1"/>
  <c r="N52" i="7"/>
  <c r="N49" i="7" s="1"/>
  <c r="N75" i="7"/>
  <c r="N71" i="7" s="1"/>
  <c r="M75" i="7"/>
  <c r="M71" i="7" s="1"/>
  <c r="N69" i="7"/>
  <c r="N54" i="7" s="1"/>
  <c r="M69" i="7"/>
  <c r="M54" i="7" s="1"/>
  <c r="M52" i="7"/>
  <c r="M49" i="7" s="1"/>
  <c r="O77" i="7"/>
  <c r="O74" i="7"/>
  <c r="O73" i="7"/>
  <c r="O72" i="7"/>
  <c r="O68" i="7"/>
  <c r="O66" i="7"/>
  <c r="O65" i="7"/>
  <c r="O64" i="7"/>
  <c r="O63" i="7"/>
  <c r="O62" i="7"/>
  <c r="O61" i="7"/>
  <c r="O60" i="7"/>
  <c r="O59" i="7"/>
  <c r="O58" i="7"/>
  <c r="O57" i="7"/>
  <c r="O56" i="7"/>
  <c r="O55" i="7"/>
  <c r="O51" i="7"/>
  <c r="O50" i="7"/>
  <c r="O42" i="7"/>
  <c r="O41" i="7"/>
  <c r="O40" i="7"/>
  <c r="O38" i="7"/>
  <c r="O37" i="7"/>
  <c r="O36" i="7"/>
  <c r="O32" i="7"/>
  <c r="O33" i="7" s="1"/>
  <c r="O28" i="7"/>
  <c r="O29" i="7" s="1"/>
  <c r="O21" i="7"/>
  <c r="O20" i="7"/>
  <c r="O19" i="7"/>
  <c r="O15" i="7"/>
  <c r="O14" i="7"/>
  <c r="O13" i="7"/>
  <c r="O12" i="7"/>
  <c r="O11" i="7"/>
  <c r="O10" i="7"/>
  <c r="O9" i="7"/>
  <c r="O8" i="7"/>
  <c r="O6" i="7"/>
  <c r="Z334" i="7"/>
  <c r="Z333" i="7"/>
  <c r="L320" i="7"/>
  <c r="L316" i="7" s="1"/>
  <c r="L69" i="7"/>
  <c r="L54" i="7" s="1"/>
  <c r="L52" i="7"/>
  <c r="L49" i="7" s="1"/>
  <c r="R293" i="7"/>
  <c r="R288" i="7" s="1"/>
  <c r="Q293" i="7"/>
  <c r="Q288" i="7" s="1"/>
  <c r="P293" i="7"/>
  <c r="P288" i="7" s="1"/>
  <c r="L293" i="7"/>
  <c r="L288" i="7" s="1"/>
  <c r="F51" i="12"/>
  <c r="J16" i="7"/>
  <c r="J25" i="7"/>
  <c r="J18" i="7" s="1"/>
  <c r="J29" i="7"/>
  <c r="J27" i="7" s="1"/>
  <c r="J33" i="7"/>
  <c r="J31" i="7" s="1"/>
  <c r="J43" i="7"/>
  <c r="J35" i="7" s="1"/>
  <c r="J52" i="7"/>
  <c r="J49" i="7" s="1"/>
  <c r="J69" i="7"/>
  <c r="J54" i="7" s="1"/>
  <c r="J75" i="7"/>
  <c r="J71" i="7" s="1"/>
  <c r="J85" i="7"/>
  <c r="J81" i="7" s="1"/>
  <c r="J91" i="7"/>
  <c r="J87" i="7" s="1"/>
  <c r="J97" i="7"/>
  <c r="J105" i="7"/>
  <c r="J99" i="7" s="1"/>
  <c r="J116" i="7"/>
  <c r="J112" i="7" s="1"/>
  <c r="J125" i="7"/>
  <c r="J118" i="7" s="1"/>
  <c r="J133" i="7"/>
  <c r="J129" i="7" s="1"/>
  <c r="J140" i="7"/>
  <c r="J135" i="7" s="1"/>
  <c r="J147" i="7"/>
  <c r="J142" i="7" s="1"/>
  <c r="J157" i="7"/>
  <c r="J149" i="7" s="1"/>
  <c r="J166" i="7"/>
  <c r="J161" i="7" s="1"/>
  <c r="J183" i="7"/>
  <c r="J168" i="7" s="1"/>
  <c r="J192" i="7"/>
  <c r="J187" i="7" s="1"/>
  <c r="J219" i="7"/>
  <c r="J222" i="7"/>
  <c r="J232" i="7"/>
  <c r="J225" i="7" s="1"/>
  <c r="J238" i="7"/>
  <c r="J233" i="7" s="1"/>
  <c r="J256" i="7"/>
  <c r="J244" i="7" s="1"/>
  <c r="J261" i="7"/>
  <c r="J314" i="7"/>
  <c r="J305" i="7" s="1"/>
  <c r="J320" i="7"/>
  <c r="J316" i="7" s="1"/>
  <c r="J338" i="7"/>
  <c r="J322" i="7" s="1"/>
  <c r="J344" i="7"/>
  <c r="J340" i="7" s="1"/>
  <c r="J357" i="7"/>
  <c r="J355" i="7" s="1"/>
  <c r="K355" i="7" s="1"/>
  <c r="J378" i="7"/>
  <c r="J368" i="7" s="1"/>
  <c r="J185" i="9"/>
  <c r="L185" i="9" s="1"/>
  <c r="M185" i="9" s="1"/>
  <c r="N185" i="9" s="1"/>
  <c r="J186" i="9"/>
  <c r="J187" i="9"/>
  <c r="J188" i="9"/>
  <c r="L188" i="9" s="1"/>
  <c r="K42" i="7"/>
  <c r="K230" i="7"/>
  <c r="R116" i="7"/>
  <c r="R112" i="7" s="1"/>
  <c r="Q116" i="7"/>
  <c r="Q112" i="7" s="1"/>
  <c r="P116" i="7"/>
  <c r="P112" i="7" s="1"/>
  <c r="G52" i="7"/>
  <c r="G69" i="7"/>
  <c r="G75" i="7"/>
  <c r="G232" i="7"/>
  <c r="G238" i="7"/>
  <c r="G219" i="7"/>
  <c r="G116" i="7"/>
  <c r="G125" i="7"/>
  <c r="G166" i="7"/>
  <c r="G183" i="7"/>
  <c r="G133" i="7"/>
  <c r="G157" i="7"/>
  <c r="G147" i="7"/>
  <c r="G140" i="7"/>
  <c r="G192" i="7"/>
  <c r="G197" i="7" s="1"/>
  <c r="G186" i="7" s="1"/>
  <c r="G261" i="7"/>
  <c r="G256" i="7"/>
  <c r="G320" i="7"/>
  <c r="G338" i="7"/>
  <c r="G344" i="7"/>
  <c r="G355" i="7"/>
  <c r="G85" i="7"/>
  <c r="G81" i="7" s="1"/>
  <c r="G91" i="7"/>
  <c r="G87" i="7" s="1"/>
  <c r="G97" i="7"/>
  <c r="G93" i="7" s="1"/>
  <c r="G105" i="7"/>
  <c r="G99" i="7" s="1"/>
  <c r="G16" i="7"/>
  <c r="G25" i="7"/>
  <c r="G33" i="7"/>
  <c r="G43" i="7"/>
  <c r="I52" i="7"/>
  <c r="I49" i="7" s="1"/>
  <c r="I69" i="7"/>
  <c r="I54" i="7" s="1"/>
  <c r="I75" i="7"/>
  <c r="I71" i="7" s="1"/>
  <c r="I238" i="7"/>
  <c r="I232" i="7"/>
  <c r="I225" i="7" s="1"/>
  <c r="I219" i="7"/>
  <c r="I116" i="7"/>
  <c r="I112" i="7" s="1"/>
  <c r="I125" i="7"/>
  <c r="I118" i="7" s="1"/>
  <c r="K113" i="7"/>
  <c r="K108" i="7" s="1"/>
  <c r="K107" i="7"/>
  <c r="K82" i="7"/>
  <c r="K83" i="7"/>
  <c r="K84" i="7"/>
  <c r="K88" i="7"/>
  <c r="K89" i="7"/>
  <c r="K90" i="7"/>
  <c r="I97" i="7"/>
  <c r="I93" i="7" s="1"/>
  <c r="I105" i="7"/>
  <c r="I99" i="7" s="1"/>
  <c r="I166" i="7"/>
  <c r="I161" i="7" s="1"/>
  <c r="I183" i="7"/>
  <c r="I168" i="7" s="1"/>
  <c r="I133" i="7"/>
  <c r="I129" i="7" s="1"/>
  <c r="I157" i="7"/>
  <c r="I149" i="7" s="1"/>
  <c r="I147" i="7"/>
  <c r="I142" i="7" s="1"/>
  <c r="I140" i="7"/>
  <c r="I135" i="7" s="1"/>
  <c r="I192" i="7"/>
  <c r="I197" i="7" s="1"/>
  <c r="I186" i="7" s="1"/>
  <c r="I320" i="7"/>
  <c r="I316" i="7" s="1"/>
  <c r="I314" i="7"/>
  <c r="I305" i="7" s="1"/>
  <c r="I338" i="7"/>
  <c r="I322" i="7" s="1"/>
  <c r="I344" i="7"/>
  <c r="I340" i="7" s="1"/>
  <c r="I256" i="7"/>
  <c r="I244" i="7" s="1"/>
  <c r="I261" i="7"/>
  <c r="I258" i="7" s="1"/>
  <c r="K6" i="7"/>
  <c r="K8" i="7"/>
  <c r="K9" i="7"/>
  <c r="K10" i="7"/>
  <c r="K11" i="7"/>
  <c r="K12" i="7"/>
  <c r="K13" i="7"/>
  <c r="K14" i="7"/>
  <c r="K15" i="7"/>
  <c r="K19" i="7"/>
  <c r="K20" i="7"/>
  <c r="K21" i="7"/>
  <c r="K22" i="7"/>
  <c r="K32" i="7"/>
  <c r="K33" i="7" s="1"/>
  <c r="K31" i="7" s="1"/>
  <c r="K36" i="7"/>
  <c r="K37" i="7"/>
  <c r="K38" i="7"/>
  <c r="K39" i="7"/>
  <c r="K40" i="7"/>
  <c r="K41" i="7"/>
  <c r="I18" i="7"/>
  <c r="I29" i="7"/>
  <c r="I27" i="7" s="1"/>
  <c r="I33" i="7"/>
  <c r="I31" i="7" s="1"/>
  <c r="I43" i="7"/>
  <c r="I35" i="7" s="1"/>
  <c r="I16" i="7"/>
  <c r="R183" i="7"/>
  <c r="R168" i="7" s="1"/>
  <c r="Q183" i="7"/>
  <c r="Q168" i="7" s="1"/>
  <c r="P183" i="7"/>
  <c r="P168" i="7" s="1"/>
  <c r="E14" i="12"/>
  <c r="E25" i="12"/>
  <c r="F25" i="12"/>
  <c r="F5" i="12"/>
  <c r="C14" i="12"/>
  <c r="C15" i="12"/>
  <c r="F15" i="12"/>
  <c r="C16" i="12"/>
  <c r="F16" i="12" s="1"/>
  <c r="C17" i="12"/>
  <c r="F17" i="12" s="1"/>
  <c r="C18" i="12"/>
  <c r="F18" i="12" s="1"/>
  <c r="F19" i="12"/>
  <c r="F21" i="12"/>
  <c r="F22" i="12"/>
  <c r="F26" i="12"/>
  <c r="F27" i="12"/>
  <c r="C28" i="12"/>
  <c r="F28" i="12" s="1"/>
  <c r="F24" i="12" s="1"/>
  <c r="C29" i="12"/>
  <c r="F29" i="12" s="1"/>
  <c r="F32" i="12"/>
  <c r="F33" i="12"/>
  <c r="F37" i="12"/>
  <c r="F38" i="12"/>
  <c r="F39" i="12"/>
  <c r="F40" i="12"/>
  <c r="F41" i="12"/>
  <c r="F43" i="12"/>
  <c r="F44" i="12"/>
  <c r="F45" i="12"/>
  <c r="F46" i="12"/>
  <c r="F47" i="12"/>
  <c r="F55" i="12"/>
  <c r="F50" i="12" s="1"/>
  <c r="F56" i="12"/>
  <c r="F57" i="12"/>
  <c r="K336" i="7"/>
  <c r="H366" i="7"/>
  <c r="P351" i="7"/>
  <c r="P348" i="7" s="1"/>
  <c r="Q351" i="7"/>
  <c r="Q348" i="7" s="1"/>
  <c r="R351" i="7"/>
  <c r="R348" i="7" s="1"/>
  <c r="L351" i="7"/>
  <c r="L348" i="7" s="1"/>
  <c r="H305" i="7"/>
  <c r="H316" i="7"/>
  <c r="H322" i="7"/>
  <c r="H261" i="7"/>
  <c r="H258" i="7" s="1"/>
  <c r="R378" i="7"/>
  <c r="R368" i="7" s="1"/>
  <c r="R362" i="7"/>
  <c r="R359" i="7" s="1"/>
  <c r="R357" i="7"/>
  <c r="R355" i="7" s="1"/>
  <c r="R344" i="7"/>
  <c r="R340" i="7" s="1"/>
  <c r="R320" i="7"/>
  <c r="R316" i="7" s="1"/>
  <c r="R314" i="7"/>
  <c r="R305" i="7" s="1"/>
  <c r="R298" i="7"/>
  <c r="R286" i="7"/>
  <c r="R282" i="7" s="1"/>
  <c r="R280" i="7"/>
  <c r="R275" i="7" s="1"/>
  <c r="R261" i="7"/>
  <c r="R258" i="7" s="1"/>
  <c r="R256" i="7"/>
  <c r="R244" i="7" s="1"/>
  <c r="R238" i="7"/>
  <c r="R233" i="7" s="1"/>
  <c r="R232" i="7"/>
  <c r="R225" i="7" s="1"/>
  <c r="R222" i="7"/>
  <c r="R219" i="7"/>
  <c r="R192" i="7"/>
  <c r="R187" i="7" s="1"/>
  <c r="R166" i="7"/>
  <c r="R161" i="7" s="1"/>
  <c r="R157" i="7"/>
  <c r="R149" i="7" s="1"/>
  <c r="R147" i="7"/>
  <c r="R142" i="7" s="1"/>
  <c r="R140" i="7"/>
  <c r="R135" i="7" s="1"/>
  <c r="R133" i="7"/>
  <c r="R129" i="7" s="1"/>
  <c r="R125" i="7"/>
  <c r="R118" i="7" s="1"/>
  <c r="R105" i="7"/>
  <c r="R99" i="7" s="1"/>
  <c r="R97" i="7"/>
  <c r="R93" i="7" s="1"/>
  <c r="R91" i="7"/>
  <c r="R87" i="7" s="1"/>
  <c r="R85" i="7"/>
  <c r="R81" i="7" s="1"/>
  <c r="R75" i="7"/>
  <c r="R71" i="7" s="1"/>
  <c r="R69" i="7"/>
  <c r="R54" i="7" s="1"/>
  <c r="R33" i="7"/>
  <c r="R29" i="7"/>
  <c r="R27" i="7" s="1"/>
  <c r="Q378" i="7"/>
  <c r="Q368" i="7" s="1"/>
  <c r="Q362" i="7"/>
  <c r="Q359" i="7" s="1"/>
  <c r="Q357" i="7"/>
  <c r="Q355" i="7" s="1"/>
  <c r="Q344" i="7"/>
  <c r="Q340" i="7" s="1"/>
  <c r="Q320" i="7"/>
  <c r="Q316" i="7" s="1"/>
  <c r="Q314" i="7"/>
  <c r="Q305" i="7" s="1"/>
  <c r="Q298" i="7"/>
  <c r="Q295" i="7" s="1"/>
  <c r="Q286" i="7"/>
  <c r="Q282" i="7" s="1"/>
  <c r="Q280" i="7"/>
  <c r="Q275" i="7" s="1"/>
  <c r="Q261" i="7"/>
  <c r="Q258" i="7" s="1"/>
  <c r="Q256" i="7"/>
  <c r="Q238" i="7"/>
  <c r="Q233" i="7" s="1"/>
  <c r="Q232" i="7"/>
  <c r="Q222" i="7"/>
  <c r="Q219" i="7"/>
  <c r="Q192" i="7"/>
  <c r="Q166" i="7"/>
  <c r="Q161" i="7" s="1"/>
  <c r="Q157" i="7"/>
  <c r="Q147" i="7"/>
  <c r="Q142" i="7" s="1"/>
  <c r="Q140" i="7"/>
  <c r="Q135" i="7" s="1"/>
  <c r="Q133" i="7"/>
  <c r="Q129" i="7" s="1"/>
  <c r="Q125" i="7"/>
  <c r="Q118" i="7" s="1"/>
  <c r="Q105" i="7"/>
  <c r="Q99" i="7" s="1"/>
  <c r="Q97" i="7"/>
  <c r="Q93" i="7" s="1"/>
  <c r="Q91" i="7"/>
  <c r="Q87" i="7" s="1"/>
  <c r="Q85" i="7"/>
  <c r="Q81" i="7" s="1"/>
  <c r="Q75" i="7"/>
  <c r="Q71" i="7" s="1"/>
  <c r="Q69" i="7"/>
  <c r="Q54" i="7" s="1"/>
  <c r="Q33" i="7"/>
  <c r="Q31" i="7" s="1"/>
  <c r="Q29" i="7"/>
  <c r="Q27" i="7" s="1"/>
  <c r="P378" i="7"/>
  <c r="P368" i="7" s="1"/>
  <c r="P362" i="7"/>
  <c r="P359" i="7" s="1"/>
  <c r="P357" i="7"/>
  <c r="P355" i="7" s="1"/>
  <c r="P344" i="7"/>
  <c r="P340" i="7" s="1"/>
  <c r="P320" i="7"/>
  <c r="P316" i="7" s="1"/>
  <c r="P314" i="7"/>
  <c r="P305" i="7" s="1"/>
  <c r="P298" i="7"/>
  <c r="P295" i="7" s="1"/>
  <c r="P286" i="7"/>
  <c r="P282" i="7" s="1"/>
  <c r="P280" i="7"/>
  <c r="P275" i="7" s="1"/>
  <c r="P273" i="7"/>
  <c r="P261" i="7"/>
  <c r="P258" i="7" s="1"/>
  <c r="P256" i="7"/>
  <c r="P244" i="7" s="1"/>
  <c r="P238" i="7"/>
  <c r="P233" i="7" s="1"/>
  <c r="P232" i="7"/>
  <c r="P225" i="7" s="1"/>
  <c r="P222" i="7"/>
  <c r="P219" i="7"/>
  <c r="P192" i="7"/>
  <c r="P197" i="7" s="1"/>
  <c r="P186" i="7" s="1"/>
  <c r="P166" i="7"/>
  <c r="P161" i="7" s="1"/>
  <c r="P157" i="7"/>
  <c r="P149" i="7" s="1"/>
  <c r="P147" i="7"/>
  <c r="P140" i="7"/>
  <c r="P135" i="7" s="1"/>
  <c r="P133" i="7"/>
  <c r="P129" i="7" s="1"/>
  <c r="P125" i="7"/>
  <c r="P118" i="7" s="1"/>
  <c r="P105" i="7"/>
  <c r="P99" i="7" s="1"/>
  <c r="P97" i="7"/>
  <c r="P93" i="7" s="1"/>
  <c r="P91" i="7"/>
  <c r="P87" i="7" s="1"/>
  <c r="P85" i="7"/>
  <c r="P81" i="7" s="1"/>
  <c r="P75" i="7"/>
  <c r="P71" i="7" s="1"/>
  <c r="P69" i="7"/>
  <c r="P54" i="7" s="1"/>
  <c r="P33" i="7"/>
  <c r="P31" i="7" s="1"/>
  <c r="P29" i="7"/>
  <c r="P27" i="7" s="1"/>
  <c r="L261" i="7"/>
  <c r="L258" i="7" s="1"/>
  <c r="L298" i="7"/>
  <c r="L295" i="7" s="1"/>
  <c r="L286" i="7"/>
  <c r="L282" i="7" s="1"/>
  <c r="L280" i="7"/>
  <c r="L275" i="7" s="1"/>
  <c r="T267" i="7"/>
  <c r="U360" i="7" s="1"/>
  <c r="L362" i="7"/>
  <c r="L359" i="7" s="1"/>
  <c r="L357" i="7"/>
  <c r="L355" i="7" s="1"/>
  <c r="L256" i="7"/>
  <c r="L244" i="7" s="1"/>
  <c r="L116" i="7"/>
  <c r="L112" i="7" s="1"/>
  <c r="L105" i="7"/>
  <c r="L99" i="7" s="1"/>
  <c r="L97" i="7"/>
  <c r="L93" i="7" s="1"/>
  <c r="L91" i="7"/>
  <c r="L87" i="7" s="1"/>
  <c r="L85" i="7"/>
  <c r="L75" i="7"/>
  <c r="L71" i="7" s="1"/>
  <c r="L344" i="7"/>
  <c r="L340" i="7" s="1"/>
  <c r="L192" i="7"/>
  <c r="L187" i="7" s="1"/>
  <c r="L378" i="7"/>
  <c r="L368" i="7" s="1"/>
  <c r="L238" i="7"/>
  <c r="L233" i="7" s="1"/>
  <c r="L232" i="7"/>
  <c r="L225" i="7" s="1"/>
  <c r="L166" i="7"/>
  <c r="L161" i="7" s="1"/>
  <c r="L157" i="7"/>
  <c r="L149" i="7" s="1"/>
  <c r="L147" i="7"/>
  <c r="L142" i="7" s="1"/>
  <c r="L140" i="7"/>
  <c r="L135" i="7" s="1"/>
  <c r="L133" i="7"/>
  <c r="L129" i="7" s="1"/>
  <c r="L125" i="7"/>
  <c r="L118" i="7" s="1"/>
  <c r="L33" i="7"/>
  <c r="L31" i="7" s="1"/>
  <c r="K356" i="7"/>
  <c r="I357" i="7"/>
  <c r="K343" i="7"/>
  <c r="K342" i="7"/>
  <c r="K341" i="7"/>
  <c r="K307" i="7"/>
  <c r="K308" i="7"/>
  <c r="K309" i="7"/>
  <c r="K310" i="7"/>
  <c r="K311" i="7"/>
  <c r="K313" i="7"/>
  <c r="K317" i="7"/>
  <c r="K318" i="7"/>
  <c r="K319" i="7"/>
  <c r="K323" i="7"/>
  <c r="L323" i="7" s="1"/>
  <c r="P323" i="7" s="1"/>
  <c r="Q323" i="7" s="1"/>
  <c r="R323" i="7" s="1"/>
  <c r="K324" i="7"/>
  <c r="L324" i="7" s="1"/>
  <c r="P324" i="7" s="1"/>
  <c r="Q324" i="7" s="1"/>
  <c r="R324" i="7" s="1"/>
  <c r="K325" i="7"/>
  <c r="L325" i="7" s="1"/>
  <c r="P325" i="7" s="1"/>
  <c r="Q325" i="7" s="1"/>
  <c r="R325" i="7" s="1"/>
  <c r="K326" i="7"/>
  <c r="K327" i="7"/>
  <c r="L327" i="7" s="1"/>
  <c r="P327" i="7" s="1"/>
  <c r="Q327" i="7" s="1"/>
  <c r="R327" i="7" s="1"/>
  <c r="K328" i="7"/>
  <c r="L328" i="7" s="1"/>
  <c r="P328" i="7" s="1"/>
  <c r="Q328" i="7" s="1"/>
  <c r="R328" i="7" s="1"/>
  <c r="K329" i="7"/>
  <c r="L329" i="7" s="1"/>
  <c r="P329" i="7" s="1"/>
  <c r="Q329" i="7" s="1"/>
  <c r="R329" i="7" s="1"/>
  <c r="K330" i="7"/>
  <c r="L330" i="7" s="1"/>
  <c r="P330" i="7" s="1"/>
  <c r="Q330" i="7" s="1"/>
  <c r="R330" i="7" s="1"/>
  <c r="K331" i="7"/>
  <c r="L331" i="7" s="1"/>
  <c r="P331" i="7" s="1"/>
  <c r="Q331" i="7" s="1"/>
  <c r="R331" i="7" s="1"/>
  <c r="K332" i="7"/>
  <c r="L332" i="7" s="1"/>
  <c r="P332" i="7" s="1"/>
  <c r="Q332" i="7" s="1"/>
  <c r="R332" i="7" s="1"/>
  <c r="K333" i="7"/>
  <c r="K337" i="7"/>
  <c r="K306" i="7"/>
  <c r="K247" i="7"/>
  <c r="K248" i="7"/>
  <c r="K249" i="7"/>
  <c r="K250" i="7"/>
  <c r="K251" i="7"/>
  <c r="K252" i="7"/>
  <c r="K253" i="7"/>
  <c r="K254" i="7"/>
  <c r="K255" i="7"/>
  <c r="K259" i="7"/>
  <c r="K260" i="7"/>
  <c r="K246" i="7"/>
  <c r="K245" i="7"/>
  <c r="K237" i="7"/>
  <c r="K236" i="7"/>
  <c r="K235" i="7"/>
  <c r="K234" i="7"/>
  <c r="K231" i="7"/>
  <c r="K229" i="7"/>
  <c r="K228" i="7"/>
  <c r="K227" i="7"/>
  <c r="K226" i="7"/>
  <c r="K221" i="7"/>
  <c r="K220" i="7"/>
  <c r="I222" i="7"/>
  <c r="K195" i="7"/>
  <c r="K194" i="7"/>
  <c r="K191" i="7"/>
  <c r="K190" i="7"/>
  <c r="K189" i="7"/>
  <c r="K188" i="7"/>
  <c r="K163" i="7"/>
  <c r="K164" i="7"/>
  <c r="K165" i="7"/>
  <c r="K167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62" i="7"/>
  <c r="K131" i="7"/>
  <c r="K132" i="7"/>
  <c r="K136" i="7"/>
  <c r="K137" i="7"/>
  <c r="K138" i="7"/>
  <c r="K139" i="7"/>
  <c r="K143" i="7"/>
  <c r="K144" i="7"/>
  <c r="K145" i="7"/>
  <c r="K146" i="7"/>
  <c r="K150" i="7"/>
  <c r="K151" i="7"/>
  <c r="K152" i="7"/>
  <c r="K153" i="7"/>
  <c r="K154" i="7"/>
  <c r="K155" i="7"/>
  <c r="K156" i="7"/>
  <c r="K130" i="7"/>
  <c r="K114" i="7"/>
  <c r="K115" i="7"/>
  <c r="K117" i="7"/>
  <c r="K119" i="7"/>
  <c r="K120" i="7"/>
  <c r="K121" i="7"/>
  <c r="K122" i="7"/>
  <c r="K123" i="7"/>
  <c r="K124" i="7"/>
  <c r="K104" i="7"/>
  <c r="K103" i="7"/>
  <c r="K102" i="7"/>
  <c r="K101" i="7"/>
  <c r="K100" i="7"/>
  <c r="K96" i="7"/>
  <c r="K95" i="7"/>
  <c r="K94" i="7"/>
  <c r="I91" i="7"/>
  <c r="I87" i="7" s="1"/>
  <c r="I85" i="7"/>
  <c r="I81" i="7" s="1"/>
  <c r="I378" i="7"/>
  <c r="I368" i="7" s="1"/>
  <c r="K375" i="7"/>
  <c r="K378" i="7" s="1"/>
  <c r="K368" i="7" s="1"/>
  <c r="K366" i="7"/>
  <c r="K77" i="7"/>
  <c r="K73" i="7"/>
  <c r="K72" i="7"/>
  <c r="K74" i="7"/>
  <c r="K68" i="7"/>
  <c r="K66" i="7"/>
  <c r="K65" i="7"/>
  <c r="K64" i="7"/>
  <c r="K63" i="7"/>
  <c r="K62" i="7"/>
  <c r="K61" i="7"/>
  <c r="K60" i="7"/>
  <c r="K59" i="7"/>
  <c r="K58" i="7"/>
  <c r="K57" i="7"/>
  <c r="K56" i="7"/>
  <c r="K55" i="7"/>
  <c r="K51" i="7"/>
  <c r="K50" i="7"/>
  <c r="P43" i="7"/>
  <c r="P35" i="7" s="1"/>
  <c r="Q43" i="7"/>
  <c r="Q35" i="7" s="1"/>
  <c r="R43" i="7"/>
  <c r="R35" i="7" s="1"/>
  <c r="H183" i="7"/>
  <c r="H168" i="7" s="1"/>
  <c r="H378" i="7"/>
  <c r="H368" i="7" s="1"/>
  <c r="H357" i="7"/>
  <c r="H355" i="7" s="1"/>
  <c r="H344" i="7"/>
  <c r="H353" i="7" s="1"/>
  <c r="H302" i="7" s="1"/>
  <c r="H256" i="7"/>
  <c r="H244" i="7" s="1"/>
  <c r="H238" i="7"/>
  <c r="H232" i="7"/>
  <c r="H225" i="7" s="1"/>
  <c r="H222" i="7"/>
  <c r="H219" i="7"/>
  <c r="H192" i="7"/>
  <c r="H187" i="7" s="1"/>
  <c r="H166" i="7"/>
  <c r="H161" i="7" s="1"/>
  <c r="H157" i="7"/>
  <c r="H149" i="7" s="1"/>
  <c r="H147" i="7"/>
  <c r="H142" i="7" s="1"/>
  <c r="H140" i="7"/>
  <c r="H135" i="7" s="1"/>
  <c r="H133" i="7"/>
  <c r="H129" i="7" s="1"/>
  <c r="H125" i="7"/>
  <c r="H118" i="7" s="1"/>
  <c r="H116" i="7"/>
  <c r="H112" i="7" s="1"/>
  <c r="H105" i="7"/>
  <c r="H99" i="7" s="1"/>
  <c r="H97" i="7"/>
  <c r="H93" i="7" s="1"/>
  <c r="H91" i="7"/>
  <c r="H87" i="7" s="1"/>
  <c r="H85" i="7"/>
  <c r="H81" i="7" s="1"/>
  <c r="H75" i="7"/>
  <c r="H71" i="7" s="1"/>
  <c r="H69" i="7"/>
  <c r="H54" i="7" s="1"/>
  <c r="H52" i="7"/>
  <c r="H49" i="7" s="1"/>
  <c r="H43" i="7"/>
  <c r="H35" i="7" s="1"/>
  <c r="H33" i="7"/>
  <c r="H31" i="7" s="1"/>
  <c r="H29" i="7"/>
  <c r="H27" i="7" s="1"/>
  <c r="H25" i="7"/>
  <c r="H18" i="7" s="1"/>
  <c r="H16" i="7"/>
  <c r="H5" i="7" s="1"/>
  <c r="C28" i="8"/>
  <c r="C5" i="8" s="1"/>
  <c r="D18" i="8"/>
  <c r="C15" i="8"/>
  <c r="C14" i="8"/>
  <c r="J2" i="8"/>
  <c r="C13" i="8" s="1"/>
  <c r="C4" i="8"/>
  <c r="M6" i="8"/>
  <c r="J6" i="8" s="1"/>
  <c r="C18" i="8" s="1"/>
  <c r="I329" i="9"/>
  <c r="I319" i="9" s="1"/>
  <c r="H329" i="9"/>
  <c r="G329" i="9"/>
  <c r="G319" i="9"/>
  <c r="H319" i="9"/>
  <c r="I309" i="9"/>
  <c r="H309" i="9"/>
  <c r="I307" i="9"/>
  <c r="H307" i="9"/>
  <c r="I304" i="9"/>
  <c r="I265" i="9"/>
  <c r="H302" i="9"/>
  <c r="G302" i="9"/>
  <c r="H296" i="9"/>
  <c r="G296" i="9"/>
  <c r="H281" i="9"/>
  <c r="G281" i="9"/>
  <c r="H275" i="9"/>
  <c r="G275" i="9"/>
  <c r="G304" i="9" s="1"/>
  <c r="I261" i="9"/>
  <c r="I263" i="9" s="1"/>
  <c r="H261" i="9"/>
  <c r="I256" i="9"/>
  <c r="H256" i="9"/>
  <c r="G256" i="9"/>
  <c r="G242" i="9"/>
  <c r="G241" i="9"/>
  <c r="I237" i="9"/>
  <c r="H237" i="9"/>
  <c r="G237" i="9"/>
  <c r="I230" i="9"/>
  <c r="H230" i="9"/>
  <c r="G230" i="9"/>
  <c r="G239" i="9" s="1"/>
  <c r="G222" i="9" s="1"/>
  <c r="I220" i="9"/>
  <c r="H220" i="9"/>
  <c r="G220" i="9"/>
  <c r="G217" i="9" s="1"/>
  <c r="I217" i="9"/>
  <c r="H217" i="9"/>
  <c r="I210" i="9"/>
  <c r="I215" i="9" s="1"/>
  <c r="I204" i="9" s="1"/>
  <c r="H210" i="9"/>
  <c r="H215" i="9" s="1"/>
  <c r="H204" i="9" s="1"/>
  <c r="G210" i="9"/>
  <c r="G215" i="9" s="1"/>
  <c r="G204" i="9" s="1"/>
  <c r="I200" i="9"/>
  <c r="G200" i="9"/>
  <c r="M188" i="9"/>
  <c r="N188" i="9" s="1"/>
  <c r="L187" i="9"/>
  <c r="M187" i="9" s="1"/>
  <c r="N187" i="9" s="1"/>
  <c r="L186" i="9"/>
  <c r="M186" i="9" s="1"/>
  <c r="N186" i="9" s="1"/>
  <c r="I179" i="9"/>
  <c r="H179" i="9"/>
  <c r="H202" i="9" s="1"/>
  <c r="H173" i="9" s="1"/>
  <c r="G179" i="9"/>
  <c r="I169" i="9"/>
  <c r="H169" i="9"/>
  <c r="G169" i="9"/>
  <c r="I157" i="9"/>
  <c r="H156" i="9"/>
  <c r="G154" i="9"/>
  <c r="G155" i="9"/>
  <c r="G156" i="9" s="1"/>
  <c r="H154" i="9"/>
  <c r="I150" i="9"/>
  <c r="H148" i="9"/>
  <c r="H150" i="9" s="1"/>
  <c r="G150" i="9"/>
  <c r="I142" i="9"/>
  <c r="H142" i="9"/>
  <c r="H171" i="9" s="1"/>
  <c r="H137" i="9" s="1"/>
  <c r="G142" i="9"/>
  <c r="I133" i="9"/>
  <c r="H133" i="9"/>
  <c r="H120" i="9"/>
  <c r="H135" i="9" s="1"/>
  <c r="H115" i="9" s="1"/>
  <c r="G133" i="9"/>
  <c r="I120" i="9"/>
  <c r="I135" i="9" s="1"/>
  <c r="I115" i="9" s="1"/>
  <c r="G120" i="9"/>
  <c r="I108" i="9"/>
  <c r="I102" i="9" s="1"/>
  <c r="H108" i="9"/>
  <c r="H102" i="9" s="1"/>
  <c r="G108" i="9"/>
  <c r="G102" i="9"/>
  <c r="I100" i="9"/>
  <c r="I96" i="9" s="1"/>
  <c r="H100" i="9"/>
  <c r="H96" i="9" s="1"/>
  <c r="G100" i="9"/>
  <c r="G96" i="9" s="1"/>
  <c r="I94" i="9"/>
  <c r="I90" i="9" s="1"/>
  <c r="H94" i="9"/>
  <c r="G94" i="9"/>
  <c r="G90" i="9"/>
  <c r="I88" i="9"/>
  <c r="I84" i="9"/>
  <c r="H88" i="9"/>
  <c r="H84" i="9" s="1"/>
  <c r="G88" i="9"/>
  <c r="G84" i="9" s="1"/>
  <c r="I77" i="9"/>
  <c r="H77" i="9"/>
  <c r="I70" i="9"/>
  <c r="H70" i="9"/>
  <c r="G70" i="9"/>
  <c r="G46" i="9"/>
  <c r="I51" i="9"/>
  <c r="H51" i="9"/>
  <c r="G51" i="9"/>
  <c r="I41" i="9"/>
  <c r="H41" i="9"/>
  <c r="G31" i="9"/>
  <c r="G4" i="9"/>
  <c r="I27" i="9"/>
  <c r="H27" i="9"/>
  <c r="I23" i="9"/>
  <c r="H23" i="9"/>
  <c r="I16" i="9"/>
  <c r="H16" i="9"/>
  <c r="G378" i="7"/>
  <c r="G368" i="7" s="1"/>
  <c r="G357" i="7"/>
  <c r="G222" i="7"/>
  <c r="G29" i="7"/>
  <c r="F333" i="7"/>
  <c r="F323" i="7"/>
  <c r="F337" i="7"/>
  <c r="F320" i="7"/>
  <c r="F249" i="7"/>
  <c r="F256" i="7" s="1"/>
  <c r="F52" i="7"/>
  <c r="F69" i="7"/>
  <c r="F33" i="7"/>
  <c r="F29" i="7"/>
  <c r="F238" i="7"/>
  <c r="F357" i="7"/>
  <c r="F355" i="7" s="1"/>
  <c r="F324" i="7"/>
  <c r="F314" i="7"/>
  <c r="F105" i="7"/>
  <c r="F99" i="7" s="1"/>
  <c r="F97" i="7"/>
  <c r="F93" i="7" s="1"/>
  <c r="F85" i="7"/>
  <c r="F91" i="7"/>
  <c r="F87" i="7" s="1"/>
  <c r="F378" i="7"/>
  <c r="F368" i="7" s="1"/>
  <c r="F133" i="7"/>
  <c r="F139" i="7"/>
  <c r="F140" i="7"/>
  <c r="F147" i="7"/>
  <c r="F157" i="7"/>
  <c r="F261" i="7"/>
  <c r="F219" i="7"/>
  <c r="F222" i="7"/>
  <c r="F232" i="7"/>
  <c r="F192" i="7"/>
  <c r="F197" i="7" s="1"/>
  <c r="F186" i="7" s="1"/>
  <c r="F166" i="7"/>
  <c r="F183" i="7"/>
  <c r="F25" i="7"/>
  <c r="F74" i="7"/>
  <c r="F75" i="7"/>
  <c r="F344" i="7"/>
  <c r="F125" i="7"/>
  <c r="F116" i="7"/>
  <c r="F43" i="7"/>
  <c r="F16" i="7"/>
  <c r="H90" i="9"/>
  <c r="F14" i="12"/>
  <c r="I202" i="9"/>
  <c r="I173" i="9" s="1"/>
  <c r="G202" i="9"/>
  <c r="G173" i="9" s="1"/>
  <c r="I242" i="9"/>
  <c r="Q16" i="7"/>
  <c r="Q5" i="7" s="1"/>
  <c r="R16" i="7"/>
  <c r="R5" i="7" s="1"/>
  <c r="O285" i="7"/>
  <c r="O284" i="7"/>
  <c r="O283" i="7"/>
  <c r="M286" i="7"/>
  <c r="M282" i="7" s="1"/>
  <c r="N187" i="7" l="1"/>
  <c r="O222" i="7"/>
  <c r="M45" i="7"/>
  <c r="M3" i="7" s="1"/>
  <c r="R25" i="7"/>
  <c r="R18" i="7" s="1"/>
  <c r="G171" i="9"/>
  <c r="G137" i="9" s="1"/>
  <c r="F36" i="12"/>
  <c r="G135" i="9"/>
  <c r="G115" i="9" s="1"/>
  <c r="H239" i="9"/>
  <c r="H222" i="9" s="1"/>
  <c r="M187" i="7"/>
  <c r="P25" i="7"/>
  <c r="P18" i="7" s="1"/>
  <c r="F338" i="7"/>
  <c r="F353" i="7" s="1"/>
  <c r="F302" i="7" s="1"/>
  <c r="L25" i="7"/>
  <c r="L18" i="7" s="1"/>
  <c r="Q25" i="7"/>
  <c r="Q18" i="7" s="1"/>
  <c r="K219" i="7"/>
  <c r="O302" i="7"/>
  <c r="O147" i="7"/>
  <c r="O142" i="7" s="1"/>
  <c r="K238" i="7"/>
  <c r="K233" i="7" s="1"/>
  <c r="K166" i="7"/>
  <c r="K161" i="7" s="1"/>
  <c r="K192" i="7"/>
  <c r="K187" i="7" s="1"/>
  <c r="O192" i="7"/>
  <c r="O187" i="7" s="1"/>
  <c r="I187" i="7"/>
  <c r="P187" i="7"/>
  <c r="K133" i="7"/>
  <c r="K129" i="7" s="1"/>
  <c r="M159" i="7"/>
  <c r="M128" i="7" s="1"/>
  <c r="N149" i="7"/>
  <c r="N159" i="7"/>
  <c r="N128" i="7" s="1"/>
  <c r="K147" i="7"/>
  <c r="K142" i="7" s="1"/>
  <c r="M87" i="7"/>
  <c r="M110" i="7"/>
  <c r="M80" i="7" s="1"/>
  <c r="O31" i="7"/>
  <c r="M233" i="7"/>
  <c r="M240" i="7"/>
  <c r="M223" i="7" s="1"/>
  <c r="N233" i="7"/>
  <c r="N240" i="7"/>
  <c r="N223" i="7" s="1"/>
  <c r="G240" i="7"/>
  <c r="G223" i="7" s="1"/>
  <c r="N45" i="7"/>
  <c r="N3" i="7" s="1"/>
  <c r="O27" i="7"/>
  <c r="M27" i="7"/>
  <c r="N27" i="7"/>
  <c r="K222" i="7"/>
  <c r="L43" i="7"/>
  <c r="L35" i="7" s="1"/>
  <c r="R197" i="7"/>
  <c r="R186" i="7" s="1"/>
  <c r="M142" i="7"/>
  <c r="K140" i="7"/>
  <c r="F159" i="7"/>
  <c r="F128" i="7" s="1"/>
  <c r="I159" i="7"/>
  <c r="I128" i="7" s="1"/>
  <c r="P127" i="7"/>
  <c r="P111" i="7" s="1"/>
  <c r="M127" i="7"/>
  <c r="M111" i="7" s="1"/>
  <c r="O75" i="7"/>
  <c r="O71" i="7" s="1"/>
  <c r="G185" i="7"/>
  <c r="G160" i="7" s="1"/>
  <c r="G159" i="7"/>
  <c r="G128" i="7" s="1"/>
  <c r="K91" i="7"/>
  <c r="K87" i="7" s="1"/>
  <c r="L185" i="7"/>
  <c r="L160" i="7" s="1"/>
  <c r="R185" i="7"/>
  <c r="R160" i="7" s="1"/>
  <c r="I233" i="7"/>
  <c r="L240" i="7"/>
  <c r="L223" i="7" s="1"/>
  <c r="F240" i="7"/>
  <c r="F223" i="7" s="1"/>
  <c r="R240" i="7"/>
  <c r="R223" i="7" s="1"/>
  <c r="P240" i="7"/>
  <c r="P223" i="7" s="1"/>
  <c r="Q185" i="7"/>
  <c r="Q160" i="7" s="1"/>
  <c r="P79" i="7"/>
  <c r="P47" i="7" s="1"/>
  <c r="G127" i="7"/>
  <c r="G111" i="7" s="1"/>
  <c r="R127" i="7"/>
  <c r="R111" i="7" s="1"/>
  <c r="L127" i="7"/>
  <c r="L111" i="7" s="1"/>
  <c r="O125" i="7"/>
  <c r="O118" i="7" s="1"/>
  <c r="H127" i="7"/>
  <c r="H111" i="7" s="1"/>
  <c r="Q127" i="7"/>
  <c r="Q111" i="7" s="1"/>
  <c r="K183" i="7"/>
  <c r="K168" i="7" s="1"/>
  <c r="J185" i="7"/>
  <c r="J160" i="7" s="1"/>
  <c r="H185" i="7"/>
  <c r="H160" i="7" s="1"/>
  <c r="O25" i="7"/>
  <c r="O18" i="7" s="1"/>
  <c r="J45" i="7"/>
  <c r="J3" i="7" s="1"/>
  <c r="K314" i="7"/>
  <c r="K305" i="7" s="1"/>
  <c r="K125" i="7"/>
  <c r="K118" i="7" s="1"/>
  <c r="J159" i="7"/>
  <c r="J128" i="7" s="1"/>
  <c r="J197" i="7"/>
  <c r="O232" i="7"/>
  <c r="O225" i="7" s="1"/>
  <c r="O378" i="7"/>
  <c r="O368" i="7" s="1"/>
  <c r="O238" i="7"/>
  <c r="H304" i="9"/>
  <c r="H265" i="9" s="1"/>
  <c r="H79" i="7"/>
  <c r="H47" i="7" s="1"/>
  <c r="H197" i="7"/>
  <c r="H186" i="7" s="1"/>
  <c r="L159" i="7"/>
  <c r="L128" i="7" s="1"/>
  <c r="K157" i="7"/>
  <c r="K149" i="7" s="1"/>
  <c r="F127" i="7"/>
  <c r="F111" i="7" s="1"/>
  <c r="H43" i="9"/>
  <c r="H4" i="9" s="1"/>
  <c r="H113" i="9"/>
  <c r="H83" i="9" s="1"/>
  <c r="I171" i="9"/>
  <c r="I137" i="9" s="1"/>
  <c r="T272" i="7"/>
  <c r="J127" i="7"/>
  <c r="J111" i="7" s="1"/>
  <c r="K97" i="7"/>
  <c r="O97" i="7"/>
  <c r="O219" i="7"/>
  <c r="I241" i="9"/>
  <c r="F13" i="12"/>
  <c r="F11" i="12" s="1"/>
  <c r="F59" i="12" s="1"/>
  <c r="I185" i="7"/>
  <c r="R159" i="7"/>
  <c r="R128" i="7" s="1"/>
  <c r="I127" i="7"/>
  <c r="L197" i="7"/>
  <c r="L186" i="7" s="1"/>
  <c r="K116" i="7"/>
  <c r="K112" i="7" s="1"/>
  <c r="I240" i="7"/>
  <c r="H159" i="7"/>
  <c r="H128" i="7" s="1"/>
  <c r="K232" i="7"/>
  <c r="K225" i="7" s="1"/>
  <c r="P185" i="7"/>
  <c r="P160" i="7" s="1"/>
  <c r="F185" i="7"/>
  <c r="F160" i="7" s="1"/>
  <c r="I43" i="9"/>
  <c r="I4" i="9" s="1"/>
  <c r="H81" i="9"/>
  <c r="H46" i="9" s="1"/>
  <c r="K52" i="7"/>
  <c r="K49" i="7" s="1"/>
  <c r="J240" i="7"/>
  <c r="J223" i="7" s="1"/>
  <c r="K135" i="7"/>
  <c r="O133" i="7"/>
  <c r="O129" i="7" s="1"/>
  <c r="O105" i="7"/>
  <c r="K75" i="7"/>
  <c r="K71" i="7" s="1"/>
  <c r="O52" i="7"/>
  <c r="O49" i="7" s="1"/>
  <c r="L79" i="7"/>
  <c r="L47" i="7" s="1"/>
  <c r="K69" i="7"/>
  <c r="K54" i="7" s="1"/>
  <c r="F79" i="7"/>
  <c r="F47" i="7" s="1"/>
  <c r="J79" i="7"/>
  <c r="J47" i="7" s="1"/>
  <c r="O69" i="7"/>
  <c r="O54" i="7" s="1"/>
  <c r="G79" i="7"/>
  <c r="G47" i="7" s="1"/>
  <c r="F45" i="7"/>
  <c r="F3" i="7" s="1"/>
  <c r="K16" i="7"/>
  <c r="K5" i="7" s="1"/>
  <c r="K357" i="7"/>
  <c r="O16" i="7"/>
  <c r="G45" i="7"/>
  <c r="G3" i="7" s="1"/>
  <c r="K25" i="7"/>
  <c r="K18" i="7" s="1"/>
  <c r="I45" i="7"/>
  <c r="I3" i="7" s="1"/>
  <c r="H45" i="7"/>
  <c r="H3" i="7" s="1"/>
  <c r="O43" i="7"/>
  <c r="O35" i="7" s="1"/>
  <c r="M93" i="7"/>
  <c r="O93" i="7" s="1"/>
  <c r="N110" i="7"/>
  <c r="N80" i="7" s="1"/>
  <c r="J93" i="7"/>
  <c r="K93" i="7" s="1"/>
  <c r="H110" i="7"/>
  <c r="H80" i="7" s="1"/>
  <c r="M99" i="7"/>
  <c r="O99" i="7" s="1"/>
  <c r="K105" i="7"/>
  <c r="K99" i="7"/>
  <c r="L110" i="7"/>
  <c r="L80" i="7" s="1"/>
  <c r="G300" i="7"/>
  <c r="K256" i="7"/>
  <c r="K244" i="7" s="1"/>
  <c r="I300" i="7"/>
  <c r="K344" i="7"/>
  <c r="K340" i="7" s="1"/>
  <c r="I242" i="7"/>
  <c r="G353" i="7"/>
  <c r="G302" i="7" s="1"/>
  <c r="K320" i="7"/>
  <c r="K316" i="7" s="1"/>
  <c r="K338" i="7"/>
  <c r="K322" i="7" s="1"/>
  <c r="H346" i="7"/>
  <c r="H304" i="7" s="1"/>
  <c r="G242" i="7"/>
  <c r="K85" i="7"/>
  <c r="K81" i="7" s="1"/>
  <c r="J110" i="7"/>
  <c r="J80" i="7" s="1"/>
  <c r="O91" i="7"/>
  <c r="O87" i="7" s="1"/>
  <c r="P110" i="7"/>
  <c r="P80" i="7" s="1"/>
  <c r="L81" i="7"/>
  <c r="R110" i="7"/>
  <c r="R80" i="7" s="1"/>
  <c r="I110" i="7"/>
  <c r="I80" i="7" s="1"/>
  <c r="G110" i="7"/>
  <c r="G80" i="7" s="1"/>
  <c r="O85" i="7"/>
  <c r="O81" i="7" s="1"/>
  <c r="Q79" i="7"/>
  <c r="Q47" i="7" s="1"/>
  <c r="R79" i="7"/>
  <c r="R47" i="7" s="1"/>
  <c r="M79" i="7"/>
  <c r="N79" i="7"/>
  <c r="N47" i="7" s="1"/>
  <c r="I79" i="7"/>
  <c r="I47" i="7" s="1"/>
  <c r="H340" i="7"/>
  <c r="K261" i="7"/>
  <c r="K258" i="7" s="1"/>
  <c r="I353" i="7"/>
  <c r="I302" i="7" s="1"/>
  <c r="I346" i="7"/>
  <c r="I304" i="7" s="1"/>
  <c r="F242" i="7"/>
  <c r="R338" i="7"/>
  <c r="R353" i="7" s="1"/>
  <c r="R302" i="7" s="1"/>
  <c r="J346" i="7"/>
  <c r="J304" i="7" s="1"/>
  <c r="J353" i="7"/>
  <c r="J302" i="7" s="1"/>
  <c r="F300" i="7"/>
  <c r="H300" i="7"/>
  <c r="H242" i="7"/>
  <c r="H241" i="7" s="1"/>
  <c r="O273" i="7"/>
  <c r="O265" i="7" s="1"/>
  <c r="O298" i="7"/>
  <c r="O295" i="7" s="1"/>
  <c r="M300" i="7"/>
  <c r="O286" i="7"/>
  <c r="O282" i="7" s="1"/>
  <c r="O280" i="7"/>
  <c r="O275" i="7" s="1"/>
  <c r="L5" i="7"/>
  <c r="L338" i="7"/>
  <c r="L353" i="7" s="1"/>
  <c r="L302" i="7" s="1"/>
  <c r="I113" i="9"/>
  <c r="I83" i="9" s="1"/>
  <c r="H242" i="9"/>
  <c r="H263" i="9"/>
  <c r="H233" i="7"/>
  <c r="H240" i="7"/>
  <c r="H223" i="7" s="1"/>
  <c r="P142" i="7"/>
  <c r="P159" i="7"/>
  <c r="P128" i="7" s="1"/>
  <c r="Q244" i="7"/>
  <c r="Q300" i="7"/>
  <c r="O116" i="7"/>
  <c r="O112" i="7" s="1"/>
  <c r="N127" i="7"/>
  <c r="N111" i="7" s="1"/>
  <c r="O140" i="7"/>
  <c r="M135" i="7"/>
  <c r="O135" i="7" s="1"/>
  <c r="M161" i="7"/>
  <c r="O166" i="7"/>
  <c r="O161" i="7" s="1"/>
  <c r="M185" i="7"/>
  <c r="O293" i="7"/>
  <c r="O288" i="7" s="1"/>
  <c r="M288" i="7"/>
  <c r="F81" i="7"/>
  <c r="F110" i="7"/>
  <c r="F80" i="7" s="1"/>
  <c r="Q149" i="7"/>
  <c r="Q159" i="7"/>
  <c r="Q128" i="7" s="1"/>
  <c r="L300" i="7"/>
  <c r="L265" i="7"/>
  <c r="Q110" i="7"/>
  <c r="Q80" i="7" s="1"/>
  <c r="I239" i="9"/>
  <c r="I222" i="9" s="1"/>
  <c r="C8" i="8"/>
  <c r="L305" i="7"/>
  <c r="Q225" i="7"/>
  <c r="Q240" i="7"/>
  <c r="Q223" i="7" s="1"/>
  <c r="R295" i="7"/>
  <c r="R300" i="7"/>
  <c r="L168" i="7"/>
  <c r="K43" i="7"/>
  <c r="K35" i="7" s="1"/>
  <c r="I81" i="9"/>
  <c r="I46" i="9" s="1"/>
  <c r="P265" i="7"/>
  <c r="P300" i="7"/>
  <c r="Q338" i="7"/>
  <c r="P338" i="7"/>
  <c r="G2" i="8"/>
  <c r="C12" i="8" s="1"/>
  <c r="C22" i="8" s="1"/>
  <c r="G113" i="9"/>
  <c r="G83" i="9" s="1"/>
  <c r="G311" i="9" s="1"/>
  <c r="G313" i="9" s="1"/>
  <c r="G317" i="9" s="1"/>
  <c r="G331" i="9" s="1"/>
  <c r="P49" i="7"/>
  <c r="Q197" i="7"/>
  <c r="Q186" i="7" s="1"/>
  <c r="Q187" i="7"/>
  <c r="J258" i="7"/>
  <c r="J300" i="7"/>
  <c r="M149" i="7"/>
  <c r="O157" i="7"/>
  <c r="N186" i="7"/>
  <c r="O186" i="7" s="1"/>
  <c r="O197" i="7"/>
  <c r="C8" i="20"/>
  <c r="J242" i="7"/>
  <c r="N185" i="7"/>
  <c r="N160" i="7" s="1"/>
  <c r="O183" i="7"/>
  <c r="O168" i="7" s="1"/>
  <c r="N300" i="7"/>
  <c r="H2" i="20"/>
  <c r="C13" i="20" s="1"/>
  <c r="C24" i="20" s="1"/>
  <c r="L220" i="7" s="1"/>
  <c r="C19" i="20"/>
  <c r="D20" i="20"/>
  <c r="Q45" i="7" l="1"/>
  <c r="Q3" i="7" s="1"/>
  <c r="R45" i="7"/>
  <c r="R3" i="7" s="1"/>
  <c r="P45" i="7"/>
  <c r="P3" i="7" s="1"/>
  <c r="I241" i="7"/>
  <c r="N263" i="7"/>
  <c r="N242" i="7"/>
  <c r="N241" i="7" s="1"/>
  <c r="N363" i="7" s="1"/>
  <c r="N365" i="7" s="1"/>
  <c r="N367" i="7" s="1"/>
  <c r="N379" i="7" s="1"/>
  <c r="M263" i="7"/>
  <c r="M242" i="7"/>
  <c r="O149" i="7"/>
  <c r="O159" i="7"/>
  <c r="O128" i="7" s="1"/>
  <c r="O223" i="7"/>
  <c r="O233" i="7"/>
  <c r="O240" i="7"/>
  <c r="O5" i="7"/>
  <c r="O45" i="7"/>
  <c r="O3" i="7" s="1"/>
  <c r="O110" i="7"/>
  <c r="O80" i="7" s="1"/>
  <c r="H241" i="9"/>
  <c r="H311" i="9" s="1"/>
  <c r="H313" i="9" s="1"/>
  <c r="H317" i="9" s="1"/>
  <c r="H331" i="9" s="1"/>
  <c r="I111" i="7"/>
  <c r="K127" i="7"/>
  <c r="K111" i="7" s="1"/>
  <c r="J186" i="7"/>
  <c r="K186" i="7" s="1"/>
  <c r="K197" i="7"/>
  <c r="H363" i="7"/>
  <c r="H365" i="7" s="1"/>
  <c r="H367" i="7" s="1"/>
  <c r="H379" i="7" s="1"/>
  <c r="I223" i="7"/>
  <c r="K223" i="7" s="1"/>
  <c r="K240" i="7"/>
  <c r="G241" i="7"/>
  <c r="G363" i="7" s="1"/>
  <c r="G365" i="7" s="1"/>
  <c r="G367" i="7" s="1"/>
  <c r="G379" i="7" s="1"/>
  <c r="G381" i="7" s="1"/>
  <c r="I311" i="9"/>
  <c r="I313" i="9" s="1"/>
  <c r="I317" i="9" s="1"/>
  <c r="I331" i="9" s="1"/>
  <c r="I160" i="7"/>
  <c r="K185" i="7"/>
  <c r="K160" i="7" s="1"/>
  <c r="K159" i="7"/>
  <c r="K128" i="7" s="1"/>
  <c r="K79" i="7"/>
  <c r="K47" i="7" s="1"/>
  <c r="O79" i="7"/>
  <c r="O47" i="7" s="1"/>
  <c r="M47" i="7"/>
  <c r="K300" i="7"/>
  <c r="K302" i="7"/>
  <c r="K346" i="7"/>
  <c r="K304" i="7" s="1"/>
  <c r="K110" i="7"/>
  <c r="K80" i="7" s="1"/>
  <c r="F241" i="7"/>
  <c r="F363" i="7" s="1"/>
  <c r="F365" i="7" s="1"/>
  <c r="F367" i="7" s="1"/>
  <c r="F379" i="7" s="1"/>
  <c r="F381" i="7" s="1"/>
  <c r="R322" i="7"/>
  <c r="R346" i="7"/>
  <c r="R304" i="7" s="1"/>
  <c r="K353" i="7"/>
  <c r="R263" i="7"/>
  <c r="R242" i="7"/>
  <c r="R241" i="7" s="1"/>
  <c r="R363" i="7" s="1"/>
  <c r="L263" i="7"/>
  <c r="L242" i="7"/>
  <c r="L241" i="7" s="1"/>
  <c r="C30" i="8"/>
  <c r="C31" i="8"/>
  <c r="O300" i="7"/>
  <c r="O263" i="7" s="1"/>
  <c r="L322" i="7"/>
  <c r="L346" i="7"/>
  <c r="L304" i="7" s="1"/>
  <c r="C27" i="20"/>
  <c r="T6" i="20" s="1"/>
  <c r="V6" i="20" s="1"/>
  <c r="L28" i="7"/>
  <c r="L29" i="7" s="1"/>
  <c r="O127" i="7"/>
  <c r="O111" i="7" s="1"/>
  <c r="J241" i="7"/>
  <c r="K242" i="7"/>
  <c r="P353" i="7"/>
  <c r="P302" i="7" s="1"/>
  <c r="P322" i="7"/>
  <c r="P346" i="7"/>
  <c r="P304" i="7" s="1"/>
  <c r="P263" i="7"/>
  <c r="P242" i="7"/>
  <c r="C24" i="8"/>
  <c r="L219" i="7"/>
  <c r="L222" i="7"/>
  <c r="Q322" i="7"/>
  <c r="Q353" i="7"/>
  <c r="Q302" i="7" s="1"/>
  <c r="Q346" i="7"/>
  <c r="Q304" i="7" s="1"/>
  <c r="M160" i="7"/>
  <c r="O185" i="7"/>
  <c r="O160" i="7" s="1"/>
  <c r="Q263" i="7"/>
  <c r="Q242" i="7"/>
  <c r="R365" i="7" l="1"/>
  <c r="R367" i="7" s="1"/>
  <c r="R379" i="7" s="1"/>
  <c r="L363" i="7"/>
  <c r="M241" i="7"/>
  <c r="M363" i="7" s="1"/>
  <c r="M365" i="7" s="1"/>
  <c r="O242" i="7"/>
  <c r="O241" i="7" s="1"/>
  <c r="O363" i="7" s="1"/>
  <c r="O365" i="7" s="1"/>
  <c r="I363" i="7"/>
  <c r="I365" i="7" s="1"/>
  <c r="I367" i="7" s="1"/>
  <c r="I379" i="7" s="1"/>
  <c r="I381" i="7" s="1"/>
  <c r="Q241" i="7"/>
  <c r="Q363" i="7" s="1"/>
  <c r="K29" i="7"/>
  <c r="K27" i="7" s="1"/>
  <c r="K45" i="7"/>
  <c r="K3" i="7" s="1"/>
  <c r="P241" i="7"/>
  <c r="P363" i="7" s="1"/>
  <c r="K241" i="7"/>
  <c r="K363" i="7" s="1"/>
  <c r="J363" i="7"/>
  <c r="J365" i="7" s="1"/>
  <c r="J367" i="7" s="1"/>
  <c r="J379" i="7" s="1"/>
  <c r="L27" i="7"/>
  <c r="L45" i="7"/>
  <c r="L3" i="7" s="1"/>
  <c r="Q365" i="7" l="1"/>
  <c r="Q367" i="7" s="1"/>
  <c r="Q379" i="7" s="1"/>
  <c r="P365" i="7"/>
  <c r="P367" i="7" s="1"/>
  <c r="P379" i="7" s="1"/>
  <c r="M367" i="7"/>
  <c r="O367" i="7" s="1"/>
  <c r="L365" i="7"/>
  <c r="L367" i="7" s="1"/>
  <c r="L379" i="7" s="1"/>
  <c r="K365" i="7"/>
  <c r="K367" i="7" s="1"/>
  <c r="K379" i="7" s="1"/>
  <c r="K381" i="7" s="1"/>
  <c r="L381" i="7" l="1"/>
  <c r="M379" i="7"/>
  <c r="O379" i="7" s="1"/>
  <c r="O381" i="7" s="1"/>
  <c r="P381" i="7" l="1"/>
  <c r="Q381" i="7" s="1"/>
  <c r="R381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Q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Halvvejsopgørelse i projekter; kan have indflydelse på økonomi
</t>
        </r>
      </text>
    </comment>
    <comment ref="R3" authorId="0" shapeId="0" xr:uid="{596A6D37-F8BD-4329-8A56-1E269B6079A0}">
      <text>
        <r>
          <rPr>
            <sz val="9"/>
            <color indexed="81"/>
            <rFont val="Tahoma"/>
            <family val="2"/>
          </rPr>
          <t xml:space="preserve">2021 
- ej TD tilsagn endnu
</t>
        </r>
      </text>
    </comment>
    <comment ref="L6" authorId="0" shapeId="0" xr:uid="{A36A5C9E-3486-42D4-A449-7C99DA5BB1B3}">
      <text>
        <r>
          <rPr>
            <sz val="9"/>
            <color indexed="81"/>
            <rFont val="Tahoma"/>
            <family val="2"/>
          </rPr>
          <t xml:space="preserve">Fra Grundstøtte på 506K fratrækkes andel til KUF/IKC som afhænger af medlemstal
</t>
        </r>
      </text>
    </comment>
    <comment ref="P6" authorId="0" shapeId="0" xr:uid="{539AD36D-B7A6-404C-BDF1-F2A2C80421E6}">
      <text>
        <r>
          <rPr>
            <sz val="9"/>
            <color indexed="81"/>
            <rFont val="Tahoma"/>
            <family val="2"/>
          </rPr>
          <t xml:space="preserve">Fra Grundstøtte på 506K fratrækkes andel til KUF/IKC som afhænger af medlemstal
</t>
        </r>
      </text>
    </comment>
    <comment ref="Q6" authorId="0" shapeId="0" xr:uid="{55791282-B2B2-4524-B1A5-26797C4488AF}">
      <text>
        <r>
          <rPr>
            <sz val="9"/>
            <color indexed="81"/>
            <rFont val="Tahoma"/>
            <family val="2"/>
          </rPr>
          <t xml:space="preserve">Fra Grundstøtte på 512K (estimat) fratrækkes andel til KUF/IKC som afhænger af medlemstal
</t>
        </r>
      </text>
    </comment>
    <comment ref="R6" authorId="0" shapeId="0" xr:uid="{5DBB7FF8-E5CB-4753-876A-0196D9879A28}">
      <text>
        <r>
          <rPr>
            <sz val="9"/>
            <color indexed="81"/>
            <rFont val="Tahoma"/>
            <family val="2"/>
          </rPr>
          <t xml:space="preserve">Fra Grundstøtte på 514K (estimat) fratrækkes andel til KUF/IKC som afhænger af medlemstal
</t>
        </r>
      </text>
    </comment>
    <comment ref="Q12" authorId="0" shapeId="0" xr:uid="{6234C60C-4775-4177-B57B-ABB61C66FB28}">
      <text>
        <r>
          <rPr>
            <sz val="9"/>
            <color indexed="81"/>
            <rFont val="Tahoma"/>
            <family val="2"/>
          </rPr>
          <t>Estimat
Afhænger af medlemsantal</t>
        </r>
      </text>
    </comment>
    <comment ref="R12" authorId="0" shapeId="0" xr:uid="{17244626-D591-4718-AF1F-CC61C1B0CD59}">
      <text>
        <r>
          <rPr>
            <sz val="9"/>
            <color indexed="81"/>
            <rFont val="Tahoma"/>
            <family val="2"/>
          </rPr>
          <t>Estimat
Afhænger af medlemsantal</t>
        </r>
      </text>
    </comment>
    <comment ref="P15" authorId="0" shapeId="0" xr:uid="{AC39BF84-4258-46E8-8AF5-4FC4481E8D95}">
      <text>
        <r>
          <rPr>
            <sz val="9"/>
            <color indexed="81"/>
            <rFont val="Tahoma"/>
            <family val="2"/>
          </rPr>
          <t xml:space="preserve">Fra barselsfonden; vedr. LHs barsel
</t>
        </r>
      </text>
    </comment>
    <comment ref="H19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Leipzig Tyskland
</t>
        </r>
      </text>
    </comment>
    <comment ref="L19" authorId="0" shapeId="0" xr:uid="{C5136346-5185-4CE7-8E12-0D1EE264CA01}">
      <text>
        <r>
          <rPr>
            <sz val="9"/>
            <color indexed="81"/>
            <rFont val="Tahoma"/>
            <family val="2"/>
          </rPr>
          <t>VM Kina
Hotel + individuel startgebyr</t>
        </r>
      </text>
    </comment>
    <comment ref="P19" authorId="0" shapeId="0" xr:uid="{5A1983E1-8B7B-4003-AB82-7755A963A9B2}">
      <text>
        <r>
          <rPr>
            <sz val="9"/>
            <color indexed="81"/>
            <rFont val="Tahoma"/>
            <family val="2"/>
          </rPr>
          <t>Budapest Ungarn
juni</t>
        </r>
      </text>
    </comment>
    <comment ref="H20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Tbilisi - Georgien
</t>
        </r>
      </text>
    </comment>
    <comment ref="L20" authorId="0" shapeId="0" xr:uid="{F3E95E43-A049-4A8F-9B3F-FA0C7EB0A83B}">
      <text>
        <r>
          <rPr>
            <sz val="9"/>
            <color indexed="81"/>
            <rFont val="Tahoma"/>
            <family val="2"/>
          </rPr>
          <t xml:space="preserve">EM Serbien/Novi Sad
Hotel + individuel startgebyr
</t>
        </r>
      </text>
    </comment>
    <comment ref="P20" authorId="0" shapeId="0" xr:uid="{C94DAD07-B1C7-4DFF-9F56-1454684E47B0}">
      <text>
        <r>
          <rPr>
            <sz val="9"/>
            <color indexed="81"/>
            <rFont val="Tahoma"/>
            <family val="2"/>
          </rPr>
          <t>VM Düsseldorf Tyskland
juli</t>
        </r>
      </text>
    </comment>
    <comment ref="H21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Plovdiv - Bulgarien
</t>
        </r>
      </text>
    </comment>
    <comment ref="L21" authorId="0" shapeId="0" xr:uid="{0C13C7AF-F5F4-426B-A934-E73543191581}">
      <text>
        <r>
          <rPr>
            <sz val="9"/>
            <color indexed="81"/>
            <rFont val="Tahoma"/>
            <family val="2"/>
          </rPr>
          <t>VM Verona Italien
hotel og startgebyr</t>
        </r>
      </text>
    </comment>
    <comment ref="P21" authorId="0" shapeId="0" xr:uid="{23DB2A24-1830-424F-9886-5F8BD9EF10A5}">
      <text>
        <r>
          <rPr>
            <sz val="9"/>
            <color indexed="81"/>
            <rFont val="Tahoma"/>
            <family val="2"/>
          </rPr>
          <t xml:space="preserve">Torun Polen april
hotel og startgebyr
</t>
        </r>
      </text>
    </comment>
    <comment ref="Q21" authorId="0" shapeId="0" xr:uid="{B3473951-FA68-4524-8BB0-39A8FBF1CE63}">
      <text>
        <r>
          <rPr>
            <sz val="9"/>
            <color indexed="81"/>
            <rFont val="Tahoma"/>
            <family val="2"/>
          </rPr>
          <t xml:space="preserve">hotel og startgebyr
</t>
        </r>
      </text>
    </comment>
    <comment ref="R21" authorId="0" shapeId="0" xr:uid="{6EED418B-BA7B-44A9-A122-230C2685BB9B}">
      <text>
        <r>
          <rPr>
            <sz val="9"/>
            <color indexed="81"/>
            <rFont val="Tahoma"/>
            <family val="2"/>
          </rPr>
          <t xml:space="preserve">hotel og startgebyr
</t>
        </r>
      </text>
    </comment>
    <comment ref="H22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Plovdiv - Bulgarien
</t>
        </r>
      </text>
    </comment>
    <comment ref="L22" authorId="0" shapeId="0" xr:uid="{273901BF-80DA-467B-8FD5-018E87C6ED26}">
      <text>
        <r>
          <rPr>
            <sz val="9"/>
            <color indexed="81"/>
            <rFont val="Tahoma"/>
            <family val="2"/>
          </rPr>
          <t>EM Sochi Rusland
hotel og startgebyr</t>
        </r>
      </text>
    </comment>
    <comment ref="P22" authorId="0" shapeId="0" xr:uid="{A884087E-B2BE-474B-8287-2A9EEAAE081E}">
      <text>
        <r>
          <rPr>
            <sz val="9"/>
            <color indexed="81"/>
            <rFont val="Tahoma"/>
            <family val="2"/>
          </rPr>
          <t xml:space="preserve">Foggia Italien marts
hotel og startgebyr
</t>
        </r>
      </text>
    </comment>
    <comment ref="Q22" authorId="0" shapeId="0" xr:uid="{39F60C25-F924-4120-98E3-1E78549E5305}">
      <text>
        <r>
          <rPr>
            <sz val="9"/>
            <color indexed="81"/>
            <rFont val="Tahoma"/>
            <family val="2"/>
          </rPr>
          <t xml:space="preserve">hotel og startgebyr
</t>
        </r>
      </text>
    </comment>
    <comment ref="R22" authorId="0" shapeId="0" xr:uid="{520669E5-E9A6-4420-B8CC-642407A30437}">
      <text>
        <r>
          <rPr>
            <sz val="9"/>
            <color indexed="81"/>
            <rFont val="Tahoma"/>
            <family val="2"/>
          </rPr>
          <t xml:space="preserve">hotel og startgebyr
</t>
        </r>
      </text>
    </comment>
    <comment ref="R36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Endnu ikke tilsagn om støtte fra Salling Fonden
</t>
        </r>
      </text>
    </comment>
    <comment ref="L37" authorId="0" shapeId="0" xr:uid="{B8F703EE-052A-4C63-BD1C-C11B69A195BA}">
      <text>
        <r>
          <rPr>
            <sz val="9"/>
            <color indexed="81"/>
            <rFont val="Tahoma"/>
            <family val="2"/>
          </rPr>
          <t xml:space="preserve">Leman 50K
</t>
        </r>
      </text>
    </comment>
    <comment ref="L41" authorId="0" shapeId="0" xr:uid="{9962D30C-F856-48D2-A562-E486A4D719A1}">
      <text>
        <r>
          <rPr>
            <sz val="9"/>
            <color indexed="81"/>
            <rFont val="Tahoma"/>
            <family val="2"/>
          </rPr>
          <t xml:space="preserve">Salg af LH timer ~ 30K
Kommunestøtte ~ 50K
§44-støtte ~ 12K
Sponsorindtægt i blad ~ 6K
FIE udstyr 28K
</t>
        </r>
      </text>
    </comment>
    <comment ref="H50" authorId="0" shapeId="0" xr:uid="{00000000-0006-0000-0000-00000A000000}">
      <text>
        <r>
          <rPr>
            <sz val="9"/>
            <color indexed="81"/>
            <rFont val="Tahoma"/>
            <family val="2"/>
          </rPr>
          <t xml:space="preserve">KUF varslet stigning i timepris på 4,5%
</t>
        </r>
      </text>
    </comment>
    <comment ref="P50" authorId="0" shapeId="0" xr:uid="{00000000-0006-0000-0000-00000B000000}">
      <text>
        <r>
          <rPr>
            <sz val="9"/>
            <color indexed="81"/>
            <rFont val="Tahoma"/>
            <family val="2"/>
          </rPr>
          <t xml:space="preserve">estimat
</t>
        </r>
      </text>
    </comment>
    <comment ref="Q50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GÆT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0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GÆT/HÅB</t>
        </r>
        <r>
          <rPr>
            <sz val="9"/>
            <color indexed="81"/>
            <rFont val="Tahoma"/>
            <family val="2"/>
          </rPr>
          <t xml:space="preserve">
STOR usikkerhed</t>
        </r>
      </text>
    </comment>
    <comment ref="H51" authorId="0" shapeId="0" xr:uid="{00000000-0006-0000-0000-00000E000000}">
      <text>
        <r>
          <rPr>
            <sz val="9"/>
            <color indexed="81"/>
            <rFont val="Tahoma"/>
            <family val="2"/>
          </rPr>
          <t xml:space="preserve">Kontingent = 5000 kr.
Fagligledelse = 53500 kr.
</t>
        </r>
      </text>
    </comment>
    <comment ref="H55" authorId="0" shapeId="0" xr:uid="{00000000-0006-0000-0000-00000F000000}">
      <text>
        <r>
          <rPr>
            <sz val="9"/>
            <color indexed="81"/>
            <rFont val="Tahoma"/>
            <family val="2"/>
          </rPr>
          <t xml:space="preserve">AUB, AES og barsel vil stige grundet sportschef
</t>
        </r>
      </text>
    </comment>
    <comment ref="L56" authorId="0" shapeId="0" xr:uid="{00000000-0006-0000-0000-000010000000}">
      <text>
        <r>
          <rPr>
            <sz val="9"/>
            <color indexed="81"/>
            <rFont val="Tahoma"/>
            <family val="2"/>
          </rPr>
          <t xml:space="preserve">Grais fra 2018
</t>
        </r>
      </text>
    </comment>
    <comment ref="C67" authorId="0" shapeId="0" xr:uid="{00000000-0006-0000-0000-000018000000}">
      <text>
        <r>
          <rPr>
            <sz val="9"/>
            <color indexed="81"/>
            <rFont val="Tahoma"/>
            <family val="2"/>
          </rPr>
          <t xml:space="preserve">Konto slettet
</t>
        </r>
      </text>
    </comment>
    <comment ref="H77" authorId="0" shapeId="0" xr:uid="{00000000-0006-0000-0000-000019000000}">
      <text>
        <r>
          <rPr>
            <sz val="9"/>
            <color indexed="81"/>
            <rFont val="Tahoma"/>
            <family val="2"/>
          </rPr>
          <t>Regulering i to tempi:
31/7 ved FT's fratrædelse
31/12 ved årsopgørelse
Beløb er incl. Feriepenge til sportschef</t>
        </r>
      </text>
    </comment>
    <comment ref="G107" authorId="0" shapeId="0" xr:uid="{00000000-0006-0000-0000-00001E000000}">
      <text>
        <r>
          <rPr>
            <sz val="9"/>
            <color indexed="81"/>
            <rFont val="Tahoma"/>
            <family val="2"/>
          </rPr>
          <t xml:space="preserve"> incl. Ca. 27K til hensættelse til tilbagebealing af uforbrugte TD-midler
</t>
        </r>
      </text>
    </comment>
    <comment ref="H107" authorId="0" shapeId="0" xr:uid="{00000000-0006-0000-0000-00001F000000}">
      <text>
        <r>
          <rPr>
            <sz val="9"/>
            <color indexed="81"/>
            <rFont val="Tahoma"/>
            <family val="2"/>
          </rPr>
          <t xml:space="preserve">Kalkulerer med 50K til tilbagebetaling af ubrugte midler i vækstprojekt
2014-2017; dvs. hensættelse
</t>
        </r>
      </text>
    </comment>
    <comment ref="G151" authorId="0" shapeId="0" xr:uid="{00000000-0006-0000-0000-000020000000}">
      <text>
        <r>
          <rPr>
            <sz val="9"/>
            <color indexed="81"/>
            <rFont val="Tahoma"/>
            <family val="2"/>
          </rPr>
          <t xml:space="preserve">Incl. FT: 40K
</t>
        </r>
      </text>
    </comment>
    <comment ref="H151" authorId="0" shapeId="0" xr:uid="{00000000-0006-0000-0000-000021000000}">
      <text>
        <r>
          <rPr>
            <sz val="9"/>
            <color indexed="81"/>
            <rFont val="Tahoma"/>
            <family val="2"/>
          </rPr>
          <t xml:space="preserve">incl. 25000 af FT's løn
</t>
        </r>
      </text>
    </comment>
    <comment ref="B162" authorId="0" shapeId="0" xr:uid="{00000000-0006-0000-0000-000022000000}">
      <text>
        <r>
          <rPr>
            <sz val="9"/>
            <color indexed="81"/>
            <rFont val="Tahoma"/>
            <family val="2"/>
          </rPr>
          <t xml:space="preserve">Konto 5070 =
Udvalgsarbejde
</t>
        </r>
      </text>
    </comment>
    <comment ref="B164" authorId="0" shapeId="0" xr:uid="{00000000-0006-0000-0000-000023000000}">
      <text>
        <r>
          <rPr>
            <sz val="9"/>
            <color indexed="81"/>
            <rFont val="Tahoma"/>
            <family val="2"/>
          </rPr>
          <t xml:space="preserve">Konto 5070 =
Udvalgsarbejde
</t>
        </r>
      </text>
    </comment>
    <comment ref="H169" authorId="0" shapeId="0" xr:uid="{00000000-0006-0000-0000-000024000000}">
      <text>
        <r>
          <rPr>
            <sz val="9"/>
            <color indexed="81"/>
            <rFont val="Tahoma"/>
            <family val="2"/>
          </rPr>
          <t xml:space="preserve">se også trænerkonto 338811 hvor 25K af trænerløn konteres
</t>
        </r>
      </text>
    </comment>
    <comment ref="L170" authorId="0" shapeId="0" xr:uid="{00000000-0006-0000-0000-000025000000}">
      <text>
        <r>
          <rPr>
            <sz val="9"/>
            <color indexed="81"/>
            <rFont val="Tahoma"/>
            <family val="2"/>
          </rPr>
          <t xml:space="preserve">landsholdsdragter
</t>
        </r>
      </text>
    </comment>
    <comment ref="Q170" authorId="0" shapeId="0" xr:uid="{00000000-0006-0000-0000-000027000000}">
      <text>
        <r>
          <rPr>
            <sz val="9"/>
            <color indexed="81"/>
            <rFont val="Tahoma"/>
            <family val="2"/>
          </rPr>
          <t xml:space="preserve">landsholdsdragter
</t>
        </r>
      </text>
    </comment>
    <comment ref="R170" authorId="0" shapeId="0" xr:uid="{00000000-0006-0000-0000-000028000000}">
      <text>
        <r>
          <rPr>
            <sz val="9"/>
            <color indexed="81"/>
            <rFont val="Tahoma"/>
            <family val="2"/>
          </rPr>
          <t xml:space="preserve">landsholdsdragter
</t>
        </r>
      </text>
    </comment>
    <comment ref="P175" authorId="0" shapeId="0" xr:uid="{F2A9FC79-1678-4DC2-8044-B6609A873616}">
      <text>
        <r>
          <rPr>
            <sz val="9"/>
            <color indexed="81"/>
            <rFont val="Tahoma"/>
            <family val="2"/>
          </rPr>
          <t xml:space="preserve">Udgifter 6K større end indtægter, hvilket dækker over DFF-betaling for holdstart J&amp;K ~ 4 hold á 200 Euro
</t>
        </r>
      </text>
    </comment>
    <comment ref="Q175" authorId="0" shapeId="0" xr:uid="{2BDCC679-49C1-4A16-939E-17B0FC03A58B}">
      <text>
        <r>
          <rPr>
            <sz val="9"/>
            <color indexed="81"/>
            <rFont val="Tahoma"/>
            <family val="2"/>
          </rPr>
          <t>Minus senior VM pga. OL</t>
        </r>
      </text>
    </comment>
    <comment ref="Q179" authorId="0" shapeId="0" xr:uid="{F72225F9-C241-4827-A7E3-F2516B4D8A90}">
      <text>
        <r>
          <rPr>
            <sz val="9"/>
            <color indexed="81"/>
            <rFont val="Tahoma"/>
            <family val="2"/>
          </rPr>
          <t>Minus senior VM pga. OL</t>
        </r>
      </text>
    </comment>
    <comment ref="P181" authorId="0" shapeId="0" xr:uid="{22DD3B91-9E52-4B6E-9835-860ED7CA5B47}">
      <text>
        <r>
          <rPr>
            <sz val="9"/>
            <color indexed="81"/>
            <rFont val="Tahoma"/>
            <family val="2"/>
          </rPr>
          <t xml:space="preserve">Diæter ~ 10K
Honorar 2 x 6K til ekstern CDD grundet sportschefs barsel
</t>
        </r>
      </text>
    </comment>
    <comment ref="I18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Ole Kokborg:</t>
        </r>
        <r>
          <rPr>
            <sz val="9"/>
            <color indexed="81"/>
            <rFont val="Tahoma"/>
            <family val="2"/>
          </rPr>
          <t xml:space="preserve">
Heraf 15.000 kr. ikke individuel</t>
        </r>
      </text>
    </comment>
    <comment ref="F194" authorId="0" shapeId="0" xr:uid="{00000000-0006-0000-0000-00002A000000}">
      <text>
        <r>
          <rPr>
            <sz val="9"/>
            <color indexed="81"/>
            <rFont val="Tahoma"/>
            <family val="2"/>
          </rPr>
          <t xml:space="preserve">Bestyrelsen beviljede 50€ til støtte pr. deltager ved VM. Dvs. 14*50= 700€ ~ +5250 kr.
</t>
        </r>
      </text>
    </comment>
    <comment ref="I194" authorId="0" shapeId="0" xr:uid="{3BA3F308-A68D-421A-A70A-3F0E86FF0A02}">
      <text>
        <r>
          <rPr>
            <sz val="9"/>
            <color indexed="81"/>
            <rFont val="Tahoma"/>
            <family val="2"/>
          </rPr>
          <t xml:space="preserve">2017: accept på extra 50€/person
</t>
        </r>
      </text>
    </comment>
    <comment ref="L231" authorId="0" shapeId="0" xr:uid="{00000000-0006-0000-0000-00002B000000}">
      <text>
        <r>
          <rPr>
            <sz val="9"/>
            <color indexed="81"/>
            <rFont val="Tahoma"/>
            <family val="2"/>
          </rPr>
          <t xml:space="preserve">Medaljer til tre år er afskrevet i 2017
</t>
        </r>
      </text>
    </comment>
    <comment ref="P231" authorId="0" shapeId="0" xr:uid="{00000000-0006-0000-0000-00002C000000}">
      <text>
        <r>
          <rPr>
            <sz val="9"/>
            <color indexed="81"/>
            <rFont val="Tahoma"/>
            <family val="2"/>
          </rPr>
          <t xml:space="preserve">Medaljer til tre år er afskrevet i 2017
</t>
        </r>
      </text>
    </comment>
    <comment ref="Q231" authorId="0" shapeId="0" xr:uid="{00000000-0006-0000-0000-00002D000000}">
      <text>
        <r>
          <rPr>
            <sz val="9"/>
            <color indexed="81"/>
            <rFont val="Tahoma"/>
            <family val="2"/>
          </rPr>
          <t xml:space="preserve">Medaljer til tre år er afskrevet i 2017
</t>
        </r>
      </text>
    </comment>
    <comment ref="R241" authorId="0" shapeId="0" xr:uid="{834F7281-ED8B-4338-8A97-7B86AC2FD274}">
      <text>
        <r>
          <rPr>
            <sz val="9"/>
            <color indexed="81"/>
            <rFont val="Tahoma"/>
            <family val="2"/>
          </rPr>
          <t xml:space="preserve">Spor 2 justeres i forhold til indtægter
</t>
        </r>
      </text>
    </comment>
    <comment ref="L269" authorId="0" shapeId="0" xr:uid="{00000000-0006-0000-0000-00002E000000}">
      <text>
        <r>
          <rPr>
            <sz val="9"/>
            <color indexed="81"/>
            <rFont val="Tahoma"/>
            <family val="2"/>
          </rPr>
          <t xml:space="preserve">incl. Extra 3000 kr. fra år 2021
</t>
        </r>
      </text>
    </comment>
    <comment ref="L270" authorId="0" shapeId="0" xr:uid="{00000000-0006-0000-0000-00002F000000}">
      <text>
        <r>
          <rPr>
            <sz val="9"/>
            <color indexed="81"/>
            <rFont val="Tahoma"/>
            <family val="2"/>
          </rPr>
          <t xml:space="preserve">Ændret fra 35.000 kr.
</t>
        </r>
      </text>
    </comment>
    <comment ref="P270" authorId="0" shapeId="0" xr:uid="{00000000-0006-0000-0000-000030000000}">
      <text>
        <r>
          <rPr>
            <sz val="9"/>
            <color indexed="81"/>
            <rFont val="Tahoma"/>
            <family val="2"/>
          </rPr>
          <t xml:space="preserve">Ændret fra 35.000 kr.
</t>
        </r>
      </text>
    </comment>
    <comment ref="Q270" authorId="0" shapeId="0" xr:uid="{00000000-0006-0000-0000-000031000000}">
      <text>
        <r>
          <rPr>
            <sz val="9"/>
            <color indexed="81"/>
            <rFont val="Tahoma"/>
            <family val="2"/>
          </rPr>
          <t xml:space="preserve">Ændret fra 35.000 kr.
</t>
        </r>
      </text>
    </comment>
    <comment ref="R270" authorId="0" shapeId="0" xr:uid="{00000000-0006-0000-0000-000032000000}">
      <text>
        <r>
          <rPr>
            <sz val="9"/>
            <color indexed="81"/>
            <rFont val="Tahoma"/>
            <family val="2"/>
          </rPr>
          <t xml:space="preserve">Ændret fra 35.000 kr.
</t>
        </r>
      </text>
    </comment>
    <comment ref="L272" authorId="0" shapeId="0" xr:uid="{1724256D-7768-4F2C-B5E1-874BBEEFD149}">
      <text>
        <r>
          <rPr>
            <sz val="9"/>
            <color indexed="81"/>
            <rFont val="Tahoma"/>
            <family val="2"/>
          </rPr>
          <t>Excl. Afskrivning på bil;
se konto 6600001</t>
        </r>
      </text>
    </comment>
    <comment ref="P272" authorId="0" shapeId="0" xr:uid="{82BFA622-7983-46B6-9C56-B4D148845B5B}">
      <text>
        <r>
          <rPr>
            <sz val="9"/>
            <color indexed="81"/>
            <rFont val="Tahoma"/>
            <family val="2"/>
          </rPr>
          <t xml:space="preserve">Excl. Afskrivning på bil;
se konto 6600001
</t>
        </r>
      </text>
    </comment>
    <comment ref="Q272" authorId="0" shapeId="0" xr:uid="{C3B0B1C5-80DC-4E1D-A084-FF4B7357BF50}">
      <text>
        <r>
          <rPr>
            <sz val="9"/>
            <color indexed="81"/>
            <rFont val="Tahoma"/>
            <family val="2"/>
          </rPr>
          <t xml:space="preserve">Excl. Afskrivning på bil;
se konto 6600001
</t>
        </r>
      </text>
    </comment>
    <comment ref="R272" authorId="0" shapeId="0" xr:uid="{609F1BDA-7C2A-44DE-8453-AA5F492FDD50}">
      <text>
        <r>
          <rPr>
            <sz val="9"/>
            <color indexed="81"/>
            <rFont val="Tahoma"/>
            <family val="2"/>
          </rPr>
          <t xml:space="preserve">Excl. Afskrivning på bil;
se konto 6600001
</t>
        </r>
      </text>
    </comment>
    <comment ref="L305" authorId="0" shapeId="0" xr:uid="{00000000-0006-0000-0000-000033000000}">
      <text>
        <r>
          <rPr>
            <sz val="9"/>
            <color indexed="81"/>
            <rFont val="Tahoma"/>
            <family val="2"/>
          </rPr>
          <t xml:space="preserve">heraf ca. 125K til træner
og 180 til sportschef
</t>
        </r>
      </text>
    </comment>
    <comment ref="P305" authorId="0" shapeId="0" xr:uid="{00000000-0006-0000-0000-000034000000}">
      <text>
        <r>
          <rPr>
            <sz val="9"/>
            <color indexed="81"/>
            <rFont val="Tahoma"/>
            <family val="2"/>
          </rPr>
          <t xml:space="preserve">heraf ca. 100K til træner
og 180 til sportschef
</t>
        </r>
      </text>
    </comment>
    <comment ref="Q305" authorId="0" shapeId="0" xr:uid="{00000000-0006-0000-0000-000035000000}">
      <text>
        <r>
          <rPr>
            <sz val="9"/>
            <color indexed="81"/>
            <rFont val="Tahoma"/>
            <family val="2"/>
          </rPr>
          <t xml:space="preserve">heraf ca. 100K til træner
og 180 til sportschef
</t>
        </r>
      </text>
    </comment>
    <comment ref="R305" authorId="0" shapeId="0" xr:uid="{00000000-0006-0000-0000-000036000000}">
      <text>
        <r>
          <rPr>
            <sz val="9"/>
            <color indexed="81"/>
            <rFont val="Tahoma"/>
            <family val="2"/>
          </rPr>
          <t xml:space="preserve">heraf ca. 100K til træner
og 180 til sportschef
</t>
        </r>
      </text>
    </comment>
    <comment ref="F316" authorId="0" shapeId="0" xr:uid="{00000000-0006-0000-0000-000037000000}">
      <text>
        <r>
          <rPr>
            <sz val="9"/>
            <color indexed="81"/>
            <rFont val="Tahoma"/>
            <family val="2"/>
          </rPr>
          <t xml:space="preserve">Omalokeret fra extern sparring
</t>
        </r>
      </text>
    </comment>
    <comment ref="Q322" authorId="0" shapeId="0" xr:uid="{D1563C47-1FE2-4610-9B3B-170F534711B4}">
      <text>
        <r>
          <rPr>
            <sz val="9"/>
            <color indexed="81"/>
            <rFont val="Tahoma"/>
            <family val="2"/>
          </rPr>
          <t xml:space="preserve">Ikke VM i OL-år.
Hvis kvalifikation forventes ekstrabevilling fra TD for at dække øgede udgifter - ellers kan der forventes færre udgifter da der ikke er VM i 2020 for senior.
</t>
        </r>
      </text>
    </comment>
    <comment ref="F323" authorId="0" shapeId="0" xr:uid="{00000000-0006-0000-0000-000038000000}">
      <text>
        <r>
          <rPr>
            <sz val="9"/>
            <color indexed="81"/>
            <rFont val="Tahoma"/>
            <family val="2"/>
          </rPr>
          <t xml:space="preserve">+ 9000 kr. som er omalokeret fra elitelejre iht. aftale med TD
</t>
        </r>
      </text>
    </comment>
    <comment ref="F328" authorId="0" shapeId="0" xr:uid="{00000000-0006-0000-0000-000039000000}">
      <text>
        <r>
          <rPr>
            <sz val="9"/>
            <color indexed="81"/>
            <rFont val="Tahoma"/>
            <family val="2"/>
          </rPr>
          <t xml:space="preserve">ændret fra 20.000 til NUL
</t>
        </r>
      </text>
    </comment>
    <comment ref="F329" authorId="0" shapeId="0" xr:uid="{00000000-0006-0000-0000-00003A000000}">
      <text>
        <r>
          <rPr>
            <sz val="9"/>
            <color indexed="81"/>
            <rFont val="Tahoma"/>
            <family val="2"/>
          </rPr>
          <t xml:space="preserve">ændret fra 20.000 til NUL
</t>
        </r>
      </text>
    </comment>
    <comment ref="F330" authorId="0" shapeId="0" xr:uid="{00000000-0006-0000-0000-00003B000000}">
      <text>
        <r>
          <rPr>
            <sz val="9"/>
            <color indexed="81"/>
            <rFont val="Tahoma"/>
            <family val="2"/>
          </rPr>
          <t xml:space="preserve">ændret fra 20.000 til NUL
</t>
        </r>
      </text>
    </comment>
    <comment ref="F332" authorId="0" shapeId="0" xr:uid="{00000000-0006-0000-0000-00003C000000}">
      <text>
        <r>
          <rPr>
            <sz val="9"/>
            <color indexed="81"/>
            <rFont val="Tahoma"/>
            <family val="2"/>
          </rPr>
          <t xml:space="preserve">Ændret fra 15.000 til NUL. 
Iht. aftale med TD er midler overført til Landstræneromkostninger
</t>
        </r>
      </text>
    </comment>
    <comment ref="F333" authorId="0" shapeId="0" xr:uid="{00000000-0006-0000-0000-00003D000000}">
      <text>
        <r>
          <rPr>
            <sz val="9"/>
            <color indexed="81"/>
            <rFont val="Tahoma"/>
            <family val="2"/>
          </rPr>
          <t xml:space="preserve">øget fra 20.000 iht. aftale med TD. Midler omalokeret fra elitelejre
</t>
        </r>
      </text>
    </comment>
    <comment ref="W333" authorId="0" shapeId="0" xr:uid="{00000000-0006-0000-0000-00003E000000}">
      <text>
        <r>
          <rPr>
            <sz val="9"/>
            <color indexed="81"/>
            <rFont val="Tahoma"/>
            <family val="2"/>
          </rPr>
          <t xml:space="preserve">Leipzig Tyskland
</t>
        </r>
      </text>
    </comment>
    <comment ref="AA333" authorId="0" shapeId="0" xr:uid="{00000000-0006-0000-0000-00003F000000}">
      <text>
        <r>
          <rPr>
            <sz val="9"/>
            <color indexed="81"/>
            <rFont val="Tahoma"/>
            <family val="2"/>
          </rPr>
          <t xml:space="preserve">VM i Kina
</t>
        </r>
      </text>
    </comment>
    <comment ref="W334" authorId="0" shapeId="0" xr:uid="{00000000-0006-0000-0000-000040000000}">
      <text>
        <r>
          <rPr>
            <sz val="9"/>
            <color indexed="81"/>
            <rFont val="Tahoma"/>
            <family val="2"/>
          </rPr>
          <t xml:space="preserve">Tbilisi - Georgien
</t>
        </r>
      </text>
    </comment>
    <comment ref="F337" authorId="0" shapeId="0" xr:uid="{00000000-0006-0000-0000-000041000000}">
      <text>
        <r>
          <rPr>
            <sz val="9"/>
            <color indexed="81"/>
            <rFont val="Tahoma"/>
            <family val="2"/>
          </rPr>
          <t xml:space="preserve">Øget med 35K fra 22200
</t>
        </r>
      </text>
    </comment>
    <comment ref="F355" authorId="0" shapeId="0" xr:uid="{00000000-0006-0000-0000-000042000000}">
      <text>
        <r>
          <rPr>
            <sz val="9"/>
            <color indexed="81"/>
            <rFont val="Tahoma"/>
            <family val="2"/>
          </rPr>
          <t xml:space="preserve">Er betalt ultimo 2015
</t>
        </r>
      </text>
    </comment>
    <comment ref="H366" authorId="0" shapeId="0" xr:uid="{00000000-0006-0000-0000-000043000000}">
      <text>
        <r>
          <rPr>
            <sz val="9"/>
            <color indexed="81"/>
            <rFont val="Tahoma"/>
            <family val="2"/>
          </rPr>
          <t>2 melder + 4 opruller + 5 ledninger aktiveres til udlån for evt. ny klub =16.435,-
Op til 4 piste eller meldeapp. eller kombination heraf.</t>
        </r>
      </text>
    </comment>
    <comment ref="L366" authorId="0" shapeId="0" xr:uid="{BFD4BE55-96E4-4DE7-AB8F-ACD8B0C46F38}">
      <text>
        <r>
          <rPr>
            <sz val="9"/>
            <color indexed="81"/>
            <rFont val="Tahoma"/>
            <family val="2"/>
          </rPr>
          <t xml:space="preserve">Forventet FIE donation 4K CHF ~ 28K DKK, indtægt i konto 150006
1/4 Afskrivning af bil (34250 kr.) i spor 1.1 Vækst konto 511108
</t>
        </r>
      </text>
    </comment>
    <comment ref="P366" authorId="0" shapeId="0" xr:uid="{5C93F3FA-72AF-4BD1-8E5B-C260E712467C}">
      <text>
        <r>
          <rPr>
            <sz val="9"/>
            <color indexed="81"/>
            <rFont val="Tahoma"/>
            <family val="2"/>
          </rPr>
          <t xml:space="preserve">1/4 Afskrivning af bil (34250 kr.) i spor 1.1 Vækst konto 511108
</t>
        </r>
      </text>
    </comment>
    <comment ref="Q366" authorId="0" shapeId="0" xr:uid="{F97CA865-3FBF-4536-A3C4-0E05AA52508B}">
      <text>
        <r>
          <rPr>
            <sz val="9"/>
            <color indexed="81"/>
            <rFont val="Tahoma"/>
            <family val="2"/>
          </rPr>
          <t xml:space="preserve">1/4 Afskrivning af bil (34250 kr.) i spor 1.1 Vækst konto 511108
</t>
        </r>
      </text>
    </comment>
    <comment ref="R366" authorId="0" shapeId="0" xr:uid="{E83DDAD2-853E-4BCE-BD72-24869F08B1F1}">
      <text>
        <r>
          <rPr>
            <sz val="9"/>
            <color indexed="81"/>
            <rFont val="Tahoma"/>
            <family val="2"/>
          </rPr>
          <t xml:space="preserve">1/4 Afskrivning af bil (34250 kr.) 
i spor 1.1 Vækst konto 511108
Måske afskrive mindre da bilen vil have en vis værdi; måske 10-15K
</t>
        </r>
      </text>
    </comment>
    <comment ref="F375" authorId="0" shapeId="0" xr:uid="{00000000-0006-0000-0000-000044000000}">
      <text>
        <r>
          <rPr>
            <b/>
            <sz val="9"/>
            <color indexed="81"/>
            <rFont val="Tahoma"/>
            <family val="2"/>
          </rPr>
          <t>Ole Kokborg:</t>
        </r>
        <r>
          <rPr>
            <sz val="9"/>
            <color indexed="81"/>
            <rFont val="Tahoma"/>
            <family val="2"/>
          </rPr>
          <t xml:space="preserve">
DIF-lån er afdraget og bankkonti omlægges til billigere udgaver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F30" authorId="0" shapeId="0" xr:uid="{C2B9494B-37CD-4BF4-8316-4AA8A889BD35}">
      <text>
        <r>
          <rPr>
            <sz val="9"/>
            <color indexed="81"/>
            <rFont val="Tahoma"/>
            <family val="2"/>
          </rPr>
          <t xml:space="preserve">Betales af FIE
</t>
        </r>
      </text>
    </comment>
    <comment ref="D36" authorId="0" shapeId="0" xr:uid="{00000000-0006-0000-0700-000001000000}">
      <text>
        <r>
          <rPr>
            <sz val="9"/>
            <color indexed="81"/>
            <rFont val="Tahoma"/>
            <family val="2"/>
          </rPr>
          <t xml:space="preserve">400€ i holdstartgebyr
</t>
        </r>
      </text>
    </comment>
    <comment ref="F51" authorId="0" shapeId="0" xr:uid="{00000000-0006-0000-0700-000002000000}">
      <text>
        <r>
          <rPr>
            <sz val="9"/>
            <color indexed="81"/>
            <rFont val="Tahoma"/>
            <family val="2"/>
          </rPr>
          <t xml:space="preserve">Baseret på gennemsnit 3.000 tilskud til 2 trænere + 5 kårde fægtere, 4 fleuret fægtere
</t>
        </r>
      </text>
    </comment>
    <comment ref="E53" authorId="0" shapeId="0" xr:uid="{00000000-0006-0000-0700-000003000000}">
      <text>
        <r>
          <rPr>
            <sz val="9"/>
            <color indexed="81"/>
            <rFont val="Tahoma"/>
            <family val="2"/>
          </rPr>
          <t xml:space="preserve">1000 tilskud til hver fægter
</t>
        </r>
      </text>
    </comment>
    <comment ref="F57" authorId="0" shapeId="0" xr:uid="{00000000-0006-0000-0700-000004000000}">
      <text>
        <r>
          <rPr>
            <sz val="9"/>
            <color indexed="81"/>
            <rFont val="Tahoma"/>
            <family val="2"/>
          </rPr>
          <t xml:space="preserve">Baseret på gennemsnit 3.000 tilskud til 2 trænere + 5 kårde fægtere, 4 fleuret fægtere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C68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Ole Kokborg:</t>
        </r>
        <r>
          <rPr>
            <sz val="9"/>
            <color indexed="81"/>
            <rFont val="Tahoma"/>
            <family val="2"/>
          </rPr>
          <t xml:space="preserve">
Konto slettet
</t>
        </r>
      </text>
    </comment>
    <comment ref="H75" authorId="0" shapeId="0" xr:uid="{00000000-0006-0000-0900-000002000000}">
      <text>
        <r>
          <rPr>
            <sz val="9"/>
            <color indexed="81"/>
            <rFont val="Tahoma"/>
            <family val="2"/>
          </rPr>
          <t xml:space="preserve">375€ for 2015 ER betalt i 2014
</t>
        </r>
      </text>
    </comment>
    <comment ref="G148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Burde være 332.000 kr</t>
        </r>
        <r>
          <rPr>
            <sz val="9"/>
            <color indexed="81"/>
            <rFont val="Tahoma"/>
            <family val="2"/>
          </rPr>
          <t xml:space="preserve">
411.000 - 79.000</t>
        </r>
      </text>
    </comment>
    <comment ref="B175" authorId="0" shapeId="0" xr:uid="{00000000-0006-0000-0900-000004000000}">
      <text>
        <r>
          <rPr>
            <sz val="9"/>
            <color indexed="81"/>
            <rFont val="Tahoma"/>
            <family val="2"/>
          </rPr>
          <t xml:space="preserve">Konto 5070 =
Udvalgsarbejde
</t>
        </r>
      </text>
    </comment>
    <comment ref="B177" authorId="0" shapeId="0" xr:uid="{00000000-0006-0000-0900-000005000000}">
      <text>
        <r>
          <rPr>
            <sz val="9"/>
            <color indexed="81"/>
            <rFont val="Tahoma"/>
            <family val="2"/>
          </rPr>
          <t xml:space="preserve">Konto 5070 =
Udvalgsarbejde
</t>
        </r>
      </text>
    </comment>
    <comment ref="H182" authorId="0" shapeId="0" xr:uid="{00000000-0006-0000-0900-000006000000}">
      <text>
        <r>
          <rPr>
            <sz val="9"/>
            <color indexed="81"/>
            <rFont val="Tahoma"/>
            <family val="2"/>
          </rPr>
          <t xml:space="preserve">Udgift bogført under Team-Danmark projekt
</t>
        </r>
      </text>
    </comment>
    <comment ref="C183" authorId="0" shapeId="0" xr:uid="{00000000-0006-0000-0900-000007000000}">
      <text>
        <r>
          <rPr>
            <i/>
            <sz val="9"/>
            <color indexed="81"/>
            <rFont val="Tahoma"/>
            <family val="2"/>
          </rPr>
          <t>ej oprettet konto i Dynaccount endnu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4" authorId="0" shapeId="0" xr:uid="{00000000-0006-0000-0900-000008000000}">
      <text>
        <r>
          <rPr>
            <sz val="9"/>
            <color indexed="81"/>
            <rFont val="Tahoma"/>
            <family val="2"/>
          </rPr>
          <t xml:space="preserve">Udgift bogført under Team-Danmark projekt
</t>
        </r>
      </text>
    </comment>
    <comment ref="H195" authorId="0" shapeId="0" xr:uid="{00000000-0006-0000-0900-000009000000}">
      <text>
        <r>
          <rPr>
            <sz val="9"/>
            <color indexed="81"/>
            <rFont val="Tahoma"/>
            <family val="2"/>
          </rPr>
          <t xml:space="preserve">var ikke med i summen for 2015
</t>
        </r>
      </text>
    </comment>
    <comment ref="H200" authorId="0" shapeId="0" xr:uid="{00000000-0006-0000-0900-00000A000000}">
      <text>
        <r>
          <rPr>
            <sz val="9"/>
            <color indexed="81"/>
            <rFont val="Tahoma"/>
            <family val="2"/>
          </rPr>
          <t>Konto 340218 (7000 kr.) var ved fejl ikke talt med i summen</t>
        </r>
      </text>
    </comment>
    <comment ref="G244" authorId="0" shapeId="0" xr:uid="{00000000-0006-0000-0900-00000B000000}">
      <text>
        <r>
          <rPr>
            <sz val="9"/>
            <color indexed="81"/>
            <rFont val="Tahoma"/>
            <family val="2"/>
          </rPr>
          <t>Budget-tal i version 1</t>
        </r>
      </text>
    </comment>
    <comment ref="H255" authorId="0" shapeId="0" xr:uid="{00000000-0006-0000-0900-00000C000000}">
      <text>
        <r>
          <rPr>
            <sz val="9"/>
            <color indexed="81"/>
            <rFont val="Tahoma"/>
            <family val="2"/>
          </rPr>
          <t xml:space="preserve">Var ved en fejl ikke talt med i totale sum for projektet
</t>
        </r>
      </text>
    </comment>
    <comment ref="G256" authorId="0" shapeId="0" xr:uid="{00000000-0006-0000-0900-00000D000000}">
      <text>
        <r>
          <rPr>
            <b/>
            <sz val="9"/>
            <color indexed="81"/>
            <rFont val="Tahoma"/>
            <family val="2"/>
          </rPr>
          <t>2014 budgettal = 585.000 kr.</t>
        </r>
        <r>
          <rPr>
            <sz val="9"/>
            <color indexed="81"/>
            <rFont val="Tahoma"/>
            <family val="2"/>
          </rPr>
          <t xml:space="preserve"> 
(= 664.000 - 79.000)
Dette er for lidt i forhold til detailbudgettet, da MW's løn i breddeudvalget (3002) er korrigeret for projektandel - der er dog korrigeret 8489 kr. for lidt - se konto 3002 under Bredde
OK/DFF</t>
        </r>
      </text>
    </comment>
    <comment ref="G259" authorId="0" shapeId="0" xr:uid="{00000000-0006-0000-0900-00000E000000}">
      <text>
        <r>
          <rPr>
            <sz val="9"/>
            <color indexed="81"/>
            <rFont val="Tahoma"/>
            <family val="2"/>
          </rPr>
          <t xml:space="preserve">143.000 kr. breddeudv kto 30020 i 2014
</t>
        </r>
      </text>
    </comment>
    <comment ref="G261" authorId="0" shapeId="0" xr:uid="{00000000-0006-0000-0900-00000F000000}">
      <text>
        <r>
          <rPr>
            <b/>
            <sz val="9"/>
            <color indexed="81"/>
            <rFont val="Tahoma"/>
            <family val="2"/>
          </rPr>
          <t xml:space="preserve">143.000 kr.
</t>
        </r>
        <r>
          <rPr>
            <sz val="9"/>
            <color indexed="81"/>
            <rFont val="Tahoma"/>
            <family val="2"/>
          </rPr>
          <t xml:space="preserve">Se breddeudvalg
konto 30020 i 2014
</t>
        </r>
      </text>
    </comment>
    <comment ref="G265" authorId="0" shapeId="0" xr:uid="{00000000-0006-0000-0900-000010000000}">
      <text>
        <r>
          <rPr>
            <sz val="9"/>
            <color indexed="81"/>
            <rFont val="Tahoma"/>
            <family val="2"/>
          </rPr>
          <t xml:space="preserve">Var ikke med i budgettet for 2014 som selvstændigt punkt
</t>
        </r>
      </text>
    </comment>
    <comment ref="G326" authorId="0" shapeId="0" xr:uid="{00000000-0006-0000-0900-000011000000}">
      <text>
        <r>
          <rPr>
            <b/>
            <sz val="9"/>
            <color indexed="81"/>
            <rFont val="Tahoma"/>
            <family val="2"/>
          </rPr>
          <t>Ole Kokborg:</t>
        </r>
        <r>
          <rPr>
            <sz val="9"/>
            <color indexed="81"/>
            <rFont val="Tahoma"/>
            <family val="2"/>
          </rPr>
          <t xml:space="preserve">
Var før i Udgifter Admin.</t>
        </r>
      </text>
    </comment>
    <comment ref="H326" authorId="0" shapeId="0" xr:uid="{00000000-0006-0000-0900-000012000000}">
      <text>
        <r>
          <rPr>
            <b/>
            <sz val="9"/>
            <color indexed="81"/>
            <rFont val="Tahoma"/>
            <family val="2"/>
          </rPr>
          <t>Ole Kokborg:</t>
        </r>
        <r>
          <rPr>
            <sz val="9"/>
            <color indexed="81"/>
            <rFont val="Tahoma"/>
            <family val="2"/>
          </rPr>
          <t xml:space="preserve">
DIF-lån er afdraget og bankkonti omlægges til billigere udgaver</t>
        </r>
      </text>
    </comment>
  </commentList>
</comments>
</file>

<file path=xl/sharedStrings.xml><?xml version="1.0" encoding="utf-8"?>
<sst xmlns="http://schemas.openxmlformats.org/spreadsheetml/2006/main" count="1524" uniqueCount="601">
  <si>
    <t>Overskrift</t>
  </si>
  <si>
    <t>Andre tilskud</t>
  </si>
  <si>
    <t>Sum</t>
  </si>
  <si>
    <t>Tilskud i alt</t>
  </si>
  <si>
    <t>INDTÆGTER I ALT</t>
  </si>
  <si>
    <t>Administration</t>
  </si>
  <si>
    <t>Administration i alt</t>
  </si>
  <si>
    <t>Afskrivninger</t>
  </si>
  <si>
    <t>Elite</t>
  </si>
  <si>
    <t>Eliteudvalg</t>
  </si>
  <si>
    <t>Porto</t>
  </si>
  <si>
    <t>Forsikring</t>
  </si>
  <si>
    <t>Kontingenter i alt</t>
  </si>
  <si>
    <t>Diverse</t>
  </si>
  <si>
    <t>Tilskud</t>
  </si>
  <si>
    <t>Transport af udstyr</t>
  </si>
  <si>
    <t>Dommeruddannelse</t>
  </si>
  <si>
    <t>Diverse indtægter</t>
  </si>
  <si>
    <t>Fonde og støtteordninger</t>
  </si>
  <si>
    <t>Klubkontingent</t>
  </si>
  <si>
    <t>Transport udl. stævner - delt.bet.</t>
  </si>
  <si>
    <t>Oph. udl. stævner - delt.betaling</t>
  </si>
  <si>
    <t>Startgebyr udl.stævner - delt.betaling</t>
  </si>
  <si>
    <t>Sommerlejr</t>
  </si>
  <si>
    <t>Seminar</t>
  </si>
  <si>
    <t>Telefon</t>
  </si>
  <si>
    <t>Kontorhold</t>
  </si>
  <si>
    <t>Hjemmeside</t>
  </si>
  <si>
    <t>Repræsentation/Gaver</t>
  </si>
  <si>
    <t>Transport</t>
  </si>
  <si>
    <t>Trænerkursus</t>
  </si>
  <si>
    <t>Ophold</t>
  </si>
  <si>
    <t>Fortæring</t>
  </si>
  <si>
    <t>Promovering</t>
  </si>
  <si>
    <t>B&amp;U-arbejde</t>
  </si>
  <si>
    <t>Stævnetilskud til klubber</t>
  </si>
  <si>
    <t>Udstyr til landshold</t>
  </si>
  <si>
    <t>Eliteudvalg i alt</t>
  </si>
  <si>
    <t>Fælles klubaktiviteter</t>
  </si>
  <si>
    <t>Bestyrelse i alt</t>
  </si>
  <si>
    <t>Stævner</t>
  </si>
  <si>
    <t>Opbevaring af udstyr</t>
  </si>
  <si>
    <t>Stævner i alt</t>
  </si>
  <si>
    <t>Konto
nr.</t>
  </si>
  <si>
    <t>Kontonavn</t>
  </si>
  <si>
    <t>B&amp;U-udvalg</t>
  </si>
  <si>
    <t>Breddeudvalg</t>
  </si>
  <si>
    <t>Veteranudvalg</t>
  </si>
  <si>
    <t>Klubstart</t>
  </si>
  <si>
    <t>Kvikkasse</t>
  </si>
  <si>
    <t>Udvalgsmøder</t>
  </si>
  <si>
    <t>Repræsentantskab</t>
  </si>
  <si>
    <t>Bestyrelse nationalt arbejde</t>
  </si>
  <si>
    <t>Repræsentantskab i alt</t>
  </si>
  <si>
    <t>Bestyrelse nationalt arbejde i alt</t>
  </si>
  <si>
    <t>Andre møder og samlinger i alt</t>
  </si>
  <si>
    <t>Bestyrelse internationalt arbejde</t>
  </si>
  <si>
    <t>B&amp;U-udvalg i alt</t>
  </si>
  <si>
    <t>Evt. forklaring til hvad der konteres</t>
  </si>
  <si>
    <t>Konto-
ansvarlig</t>
  </si>
  <si>
    <t>Best.</t>
  </si>
  <si>
    <t>B&amp;U</t>
  </si>
  <si>
    <t>Bredde</t>
  </si>
  <si>
    <t>Veteran</t>
  </si>
  <si>
    <t>DFF-Sommerlejr</t>
  </si>
  <si>
    <t>Udvalgsmøder i alt</t>
  </si>
  <si>
    <t>Breddeudvalg i alt</t>
  </si>
  <si>
    <t>?</t>
  </si>
  <si>
    <t>B&amp;U udviklingspulje</t>
  </si>
  <si>
    <t>Veteran udvalg i alt</t>
  </si>
  <si>
    <t>Udenlandske stævner (VM, EM hold)</t>
  </si>
  <si>
    <t>Bestyrelse internationalt arbejde i alt</t>
  </si>
  <si>
    <t>Vækstprojekter i alt</t>
  </si>
  <si>
    <t>Landshold</t>
  </si>
  <si>
    <t>Løn landstræner</t>
  </si>
  <si>
    <t>Træningssamling</t>
  </si>
  <si>
    <t>Transporttilskud til elitesamlinger</t>
  </si>
  <si>
    <t>Landshold i alt</t>
  </si>
  <si>
    <t>Udviklingskonsulent</t>
  </si>
  <si>
    <t>Udviklingskonsulent i alt</t>
  </si>
  <si>
    <t>Klubkontingenter</t>
  </si>
  <si>
    <t>ATP-bidrag</t>
  </si>
  <si>
    <t>KUF</t>
  </si>
  <si>
    <t>Ekstern revision af regnskab</t>
  </si>
  <si>
    <t>Kopier</t>
  </si>
  <si>
    <t>Ny</t>
  </si>
  <si>
    <t>Bankgebyr</t>
  </si>
  <si>
    <t>Sponsorindtægter</t>
  </si>
  <si>
    <t>Dommeruddannelse i alt</t>
  </si>
  <si>
    <t>Løn - projektkonsulenter</t>
  </si>
  <si>
    <t>Materiel</t>
  </si>
  <si>
    <t xml:space="preserve">Afholdelse af 3 x TD eliteLejre </t>
  </si>
  <si>
    <t xml:space="preserve">Afholdelse af 3 x DFF elitelejre </t>
  </si>
  <si>
    <t>Løn til assisterende trænere</t>
  </si>
  <si>
    <t>Dommergebyr til WC, senior EM og VM</t>
  </si>
  <si>
    <t>TD eliteLejr II</t>
  </si>
  <si>
    <t>TD eliteLejr III</t>
  </si>
  <si>
    <t>TD eliteLejr I</t>
  </si>
  <si>
    <t>Eksterne trænere</t>
  </si>
  <si>
    <t>Ekstern sparring</t>
  </si>
  <si>
    <t>BUDGET
2015</t>
  </si>
  <si>
    <t xml:space="preserve">Startgebyrer EM, VM </t>
  </si>
  <si>
    <t>Diverse møder for bruttotrupppen</t>
  </si>
  <si>
    <t>Deltagelse i udenlandske træningslejre</t>
  </si>
  <si>
    <t>Trænerkursus - deltagerbetaling</t>
  </si>
  <si>
    <t>Breddeprojekter</t>
  </si>
  <si>
    <t xml:space="preserve">Løn tilskud </t>
  </si>
  <si>
    <t>(KUF bidrag)</t>
  </si>
  <si>
    <t>Lejre</t>
  </si>
  <si>
    <t>Vestdanmark bredde projekt</t>
  </si>
  <si>
    <t>ATK</t>
  </si>
  <si>
    <t>er flyttet til indtægt i 2015</t>
  </si>
  <si>
    <t>Godgørelse hjælpetræner</t>
  </si>
  <si>
    <t>Transport projektkonsuslenter</t>
  </si>
  <si>
    <t>Kursus</t>
  </si>
  <si>
    <t>Plakanter mv.</t>
  </si>
  <si>
    <t>Fægteudstyr - tøj &amp; våben mm.</t>
  </si>
  <si>
    <t>Fægteanlæg - melder, opruller, piste mm.</t>
  </si>
  <si>
    <t>Kørsel, incl. fragt af udstyr</t>
  </si>
  <si>
    <t>Deltagerbetaling - Senior EM</t>
  </si>
  <si>
    <t>Deltagerbetaling - Kadet/Junior - VM</t>
  </si>
  <si>
    <t>Deltagerbetaling - Senior VM</t>
  </si>
  <si>
    <t>Deltagerbetaling - Kadet/Junior - EM</t>
  </si>
  <si>
    <t>Andre indtægter - i alt</t>
  </si>
  <si>
    <t>Husleje DIF (Kælderrum)</t>
  </si>
  <si>
    <t>2015: flyttet til indtægter</t>
  </si>
  <si>
    <t>2015: flyttet til Lejre</t>
  </si>
  <si>
    <t>2015: flyttet til projekter</t>
  </si>
  <si>
    <t>Internationale lejre / Andre lejre</t>
  </si>
  <si>
    <t>Resultat før finansielle poster</t>
  </si>
  <si>
    <t>Resultat af Drift før afskrivninger</t>
  </si>
  <si>
    <t>Løn - udviklingskonsulent</t>
  </si>
  <si>
    <t>Husleje Århus (KB)</t>
  </si>
  <si>
    <t>Projekter</t>
  </si>
  <si>
    <t>Dansk Fægte-Forbund</t>
  </si>
  <si>
    <t>Løn i alt</t>
  </si>
  <si>
    <t>Drift</t>
  </si>
  <si>
    <t>Udstyr i alt</t>
  </si>
  <si>
    <t>Team DK projekt i alt</t>
  </si>
  <si>
    <t>Negativ tal = Underskud</t>
  </si>
  <si>
    <t>Administration vækstprojekt, incl. IT/tlf.</t>
  </si>
  <si>
    <t>Projekt i alt før tilskud</t>
  </si>
  <si>
    <t>Vækst Vest-DK</t>
  </si>
  <si>
    <t>Vækst Ring 4 - KBH (Koncentreret fokus)</t>
  </si>
  <si>
    <t>Løn administration i alt</t>
  </si>
  <si>
    <t>Løn administration</t>
  </si>
  <si>
    <t>DIF støtte til udviklingskonsulent</t>
  </si>
  <si>
    <t>2015: Flyttet til projekt</t>
  </si>
  <si>
    <t>2015: Flyttet til indtægt</t>
  </si>
  <si>
    <t>Finansielle poster i alt</t>
  </si>
  <si>
    <t>KUF diverse</t>
  </si>
  <si>
    <t>KUF i alt</t>
  </si>
  <si>
    <t xml:space="preserve">Deltagerbetaling - Diverse stævner </t>
  </si>
  <si>
    <t>Andre indtægter</t>
  </si>
  <si>
    <t>Kontingenter &amp; Licenser</t>
  </si>
  <si>
    <t>Vækst Vest-DK i alt</t>
  </si>
  <si>
    <t>Vækststøtte Vest-DK</t>
  </si>
  <si>
    <t>Finansielle poster</t>
  </si>
  <si>
    <t>Ny9</t>
  </si>
  <si>
    <t>ATK - projekt / Hjemmeside</t>
  </si>
  <si>
    <t>Administraion</t>
  </si>
  <si>
    <t>Kontotype</t>
  </si>
  <si>
    <t xml:space="preserve">Budgetteret Årsresultat </t>
  </si>
  <si>
    <t>INDTÆGTER/OMSÆTNING</t>
  </si>
  <si>
    <t>UDGIFTER/OMKOSTNINGER:</t>
  </si>
  <si>
    <t>?9</t>
  </si>
  <si>
    <t xml:space="preserve">Sommerlejr - Deltagergebyr </t>
  </si>
  <si>
    <t>Fægtehold 40+ (= 2 lejre)</t>
  </si>
  <si>
    <t>Materiel i alt</t>
  </si>
  <si>
    <t>Stævner og materiel i alt</t>
  </si>
  <si>
    <t>UDGIFTER/OMKOSTNINGER I ALT</t>
  </si>
  <si>
    <t>2015: flyttet til indtægt</t>
  </si>
  <si>
    <t>Gebyr rente</t>
  </si>
  <si>
    <t>Kongresstøtte</t>
  </si>
  <si>
    <t>2015: flyttet til finansielle poster</t>
  </si>
  <si>
    <t>DIF-tilskud til vækst</t>
  </si>
  <si>
    <t>Startgebyrer WC hold</t>
  </si>
  <si>
    <t xml:space="preserve">Landstræner, indkvartering </t>
  </si>
  <si>
    <t>Landstræner, rejser</t>
  </si>
  <si>
    <t>ATK i alt</t>
  </si>
  <si>
    <t>Salg/Avance af licencer - FIE &amp; ECF</t>
  </si>
  <si>
    <t>Ny 9</t>
  </si>
  <si>
    <t>Diverse / Ranglistevindere</t>
  </si>
  <si>
    <t>DIF; anden støtte</t>
  </si>
  <si>
    <t>KUF assistance</t>
  </si>
  <si>
    <t>Salg af udstyr</t>
  </si>
  <si>
    <t>Materiel &amp; Stævner</t>
  </si>
  <si>
    <t>Team-Danmark</t>
  </si>
  <si>
    <t>Omkostninger i alt</t>
  </si>
  <si>
    <t>IT/Telefon</t>
  </si>
  <si>
    <t>BUDGET</t>
  </si>
  <si>
    <t>Team-Danmark projekt - Tilskud i alt</t>
  </si>
  <si>
    <t>Lejre - Deltagerbetalinger</t>
  </si>
  <si>
    <t>Diverse uforudsete udgifter</t>
  </si>
  <si>
    <t xml:space="preserve">BUDGET
2014
</t>
  </si>
  <si>
    <t>BUDGET
2016</t>
  </si>
  <si>
    <t>TD fægtere rejser</t>
  </si>
  <si>
    <t>TD fægtere, indkvartering</t>
  </si>
  <si>
    <t>GL. Konto
nr.</t>
  </si>
  <si>
    <t>DIF-tilskud til udviklingskonsuslent</t>
  </si>
  <si>
    <t>DIF-tilskud til KUF</t>
  </si>
  <si>
    <t>DIF-tilskud (kvartal)</t>
  </si>
  <si>
    <t>DIF-tilskud (kongres)</t>
  </si>
  <si>
    <t>FIE-tilskud (kongrestilskud)</t>
  </si>
  <si>
    <t>Deltagerbetaling - Div. stævner - i alt</t>
  </si>
  <si>
    <t>Team-Danmark - Tilskud</t>
  </si>
  <si>
    <t>Team-Danmark . Tilskud</t>
  </si>
  <si>
    <t>Administration IT</t>
  </si>
  <si>
    <t>Regnskabsass., incl. afgift DIF-løn</t>
  </si>
  <si>
    <t>x</t>
  </si>
  <si>
    <t>DIF kontingent</t>
  </si>
  <si>
    <t>FIE kontingent</t>
  </si>
  <si>
    <t>EFC kontingent</t>
  </si>
  <si>
    <t>Bestyrelse &amp; internationalt arbejde</t>
  </si>
  <si>
    <t>Repræsentantskab - Ophold</t>
  </si>
  <si>
    <t>Repræsentantskab - Transport</t>
  </si>
  <si>
    <t>Repræsentantskab - Fortæring</t>
  </si>
  <si>
    <t>Bestyrelse national - Ophold</t>
  </si>
  <si>
    <t>Bestyrelse national - Transport</t>
  </si>
  <si>
    <t>Bestyrelse national - Fortæring</t>
  </si>
  <si>
    <t>Bestyrelse andre møder</t>
  </si>
  <si>
    <t>Bestyrelse andre møder - Ophold</t>
  </si>
  <si>
    <t>Bestyrelse andre møder - Transport</t>
  </si>
  <si>
    <t>Bestyrelse andre møder - Fortæring</t>
  </si>
  <si>
    <t>Bestyrelse internationalt - Ophold</t>
  </si>
  <si>
    <t>Bestyrelse internationalt - Transport</t>
  </si>
  <si>
    <t>Bestyrelse internationalt - Fortæring</t>
  </si>
  <si>
    <t>Bestyrelse internationalt - Diæter</t>
  </si>
  <si>
    <t>Bestyrelse internationalt - Diverse</t>
  </si>
  <si>
    <t>Karen Lachmann's Leget</t>
  </si>
  <si>
    <t>B&amp;U Udvalgsmøder - Ophold</t>
  </si>
  <si>
    <t>B&amp;U Udvalgsmøder - Transport</t>
  </si>
  <si>
    <t>B&amp;U Udvalgsmøder - Fortæring</t>
  </si>
  <si>
    <t>B&amp;U Øvrige</t>
  </si>
  <si>
    <t>B&amp;U Øvrige i alt</t>
  </si>
  <si>
    <t>Bredde Udvalgsmøder</t>
  </si>
  <si>
    <t>Bredde udvalgsmøder - Ophold</t>
  </si>
  <si>
    <t>Bredde udvalgsmøder -Transport</t>
  </si>
  <si>
    <t>Bredde udvalgsmøder -Fortæring</t>
  </si>
  <si>
    <t>Bredde Udvalgsmøder i alt</t>
  </si>
  <si>
    <t>Udviklingskonsulent - Ophold</t>
  </si>
  <si>
    <t>Udviklingskonsulent - Transport</t>
  </si>
  <si>
    <t>Udviklingskonsulent - Fortæring</t>
  </si>
  <si>
    <t>Udviklingskonsulent - Løn</t>
  </si>
  <si>
    <t>Dommerudd. - Ophold</t>
  </si>
  <si>
    <t>Dommerudd. - Transport</t>
  </si>
  <si>
    <t>Dommerudd. - Diæter</t>
  </si>
  <si>
    <t>Dommerudd. - Honorar/gebyr mv.</t>
  </si>
  <si>
    <t>Bredde - Øvrige</t>
  </si>
  <si>
    <t>FIE-licenser Danske dommere</t>
  </si>
  <si>
    <t>Bredde - Udviklingspulje</t>
  </si>
  <si>
    <t>Bredde Øvrige i alt</t>
  </si>
  <si>
    <t>Elite Udvalgsarbejde - diverse</t>
  </si>
  <si>
    <t>Stævneophold</t>
  </si>
  <si>
    <t>Stævne - Diæter/fortæring</t>
  </si>
  <si>
    <t>Kadet, junior, senior</t>
  </si>
  <si>
    <t>Holdstøtte v/. EM &amp; VM</t>
  </si>
  <si>
    <t>LEMAN-støtte (Kadet &amp; Junior)</t>
  </si>
  <si>
    <t>Stævnestøtte til fægtere</t>
  </si>
  <si>
    <t>Elite Udvalgsmøder</t>
  </si>
  <si>
    <t>Veteran - Udvalgsmøder</t>
  </si>
  <si>
    <t>Veteranudvalg møder - Ophold</t>
  </si>
  <si>
    <t>Veteranudvalg møder - Transport</t>
  </si>
  <si>
    <t>Veteranudvalg møder - Fortæring</t>
  </si>
  <si>
    <t>Veteraanudvalgsarbejde - Diverse</t>
  </si>
  <si>
    <t>Veteran Udvalgsarbejde i alt</t>
  </si>
  <si>
    <t>Medaljer, pokaler, indgraveringer mv</t>
  </si>
  <si>
    <t>FIE stævner Doping kontrol / Læge</t>
  </si>
  <si>
    <t>Stævner - diverse</t>
  </si>
  <si>
    <t>Dommer ved DM individuelt/Hold</t>
  </si>
  <si>
    <t>Andre lejre</t>
  </si>
  <si>
    <t>Lejre i alt</t>
  </si>
  <si>
    <t>Vækstprojektet i alt</t>
  </si>
  <si>
    <t>Omkostninger (Landstræner m.fl.)</t>
  </si>
  <si>
    <t xml:space="preserve"> Løn (Landstræner m.fl.)</t>
  </si>
  <si>
    <t xml:space="preserve">Udstyr </t>
  </si>
  <si>
    <t>Renteindtægt, Bank</t>
  </si>
  <si>
    <t>Renter, Debitor (System)</t>
  </si>
  <si>
    <t>Rykkergebyr, Debitor (System)</t>
  </si>
  <si>
    <t>Valutadifferencer gevinst, Debitor (System)</t>
  </si>
  <si>
    <t xml:space="preserve"> Valutadifferencer gevinst, Kreditor (System)</t>
  </si>
  <si>
    <t>Renteudgift, Bank</t>
  </si>
  <si>
    <t>Valutadifferencer tab, Debitor (System)</t>
  </si>
  <si>
    <t>Valutadifferencer tab, Kreditor (System)</t>
  </si>
  <si>
    <t>Fægteudstyr - fægter</t>
  </si>
  <si>
    <t>Landsholdsdragt - fægter</t>
  </si>
  <si>
    <t>World Cups startgebyrer</t>
  </si>
  <si>
    <t>VM og EM startgebyrer</t>
  </si>
  <si>
    <t>Landstræner træningsudstyr</t>
  </si>
  <si>
    <t>Deltagelse ved EM &amp; VM</t>
  </si>
  <si>
    <t>Deltagelse ved WC &amp; GP stævner</t>
  </si>
  <si>
    <t>Individuel undervis. (lektion)</t>
  </si>
  <si>
    <t>Landstræner, diæter</t>
  </si>
  <si>
    <t xml:space="preserve">Konkurrencer, lejre og sparring </t>
  </si>
  <si>
    <t>Konkurrencer, lejre og sparring i alt</t>
  </si>
  <si>
    <t>Landsholdsdragter mm.</t>
  </si>
  <si>
    <t>Løn - landstræner og øvrige trænere</t>
  </si>
  <si>
    <t>Hjemmeside 16; betalt i dec.15</t>
  </si>
  <si>
    <t>Materiel til stævner incl. Ophardt</t>
  </si>
  <si>
    <t>Lejre - Deltagerbetalinger i alt</t>
  </si>
  <si>
    <t>Kontingent + bidrag faglig leder</t>
  </si>
  <si>
    <t>Ferie</t>
  </si>
  <si>
    <t>Holddeltagelse (Herre kårde)</t>
  </si>
  <si>
    <t>Tilskud til sommerlejr for talent/elite</t>
  </si>
  <si>
    <t>Dommere til EM/VM senior, junior og kadet</t>
  </si>
  <si>
    <t>Realiseret 2015</t>
  </si>
  <si>
    <t>FIE/EFC-tilskud (EM &amp; VM tilskud)</t>
  </si>
  <si>
    <t>2016:
Iht. aftale med TD er midler (3*20K) omalokeret til andre formål i projektet</t>
  </si>
  <si>
    <t>incl. Holddeltagelse i lejr</t>
  </si>
  <si>
    <t>2017:Udleje af FT: +60K</t>
  </si>
  <si>
    <t>Stævnetransport (træner, CDD)</t>
  </si>
  <si>
    <t>Timeløn</t>
  </si>
  <si>
    <t>Årstimer</t>
  </si>
  <si>
    <t>Sportschef - lønudgifter</t>
  </si>
  <si>
    <t>50€/deltager v. VM, dog max. 5K</t>
  </si>
  <si>
    <t>incl. AUB, AES, barsel</t>
  </si>
  <si>
    <t>36K kontorplads = Vækstprojekt</t>
  </si>
  <si>
    <t>Håndtering af udstyr</t>
  </si>
  <si>
    <t xml:space="preserve"> 1/2-tid</t>
  </si>
  <si>
    <t>Fuldtid</t>
  </si>
  <si>
    <t>Løn sportschef</t>
  </si>
  <si>
    <t>2017: ikke dommertilskud</t>
  </si>
  <si>
    <t>Senior hold kårde + fleuret</t>
  </si>
  <si>
    <t>incl. online bogføringssystem</t>
  </si>
  <si>
    <t>NB:</t>
  </si>
  <si>
    <t>ikke optjent ferie første år (~ løn 11 måneder)</t>
  </si>
  <si>
    <t>2017: nyt oplag af fægtebog</t>
  </si>
  <si>
    <t>kontorplads 2*18K (16) 2*19,1K(17)</t>
  </si>
  <si>
    <t>2017:2xpc+printer ~ 20K max.</t>
  </si>
  <si>
    <r>
      <t xml:space="preserve">ATK </t>
    </r>
    <r>
      <rPr>
        <sz val="8"/>
        <color theme="1"/>
        <rFont val="Calibri"/>
        <family val="2"/>
        <scheme val="minor"/>
      </rPr>
      <t>(Aldersrelateret Trænings Koncept)</t>
    </r>
  </si>
  <si>
    <t>DB's løn</t>
  </si>
  <si>
    <t>Indtægter</t>
  </si>
  <si>
    <t>Samlet antal ophold</t>
  </si>
  <si>
    <t>&gt;&gt;&gt;</t>
  </si>
  <si>
    <t>Samlet antal fægtere</t>
  </si>
  <si>
    <t>Antal betalende danske fægtere (Early bird)</t>
  </si>
  <si>
    <t>Antal betalende danske fægtere (normal pris)</t>
  </si>
  <si>
    <t>Betalinger fra danske fægtere</t>
  </si>
  <si>
    <t>Antal betalende udenlandske fægtere</t>
  </si>
  <si>
    <t xml:space="preserve">Betalinger fra udenslandske fægtere </t>
  </si>
  <si>
    <t>Antal gratis fægtere</t>
  </si>
  <si>
    <t>Kenneth modregnes Jan S. Stine modregnes Flemming.</t>
  </si>
  <si>
    <t>Indtægte slikbod</t>
  </si>
  <si>
    <t>Samlet antal andre ophold</t>
  </si>
  <si>
    <t>Antal trænere</t>
  </si>
  <si>
    <t>Særlige trænere</t>
  </si>
  <si>
    <t>Ferenc, betalt af DFF - vores udgift: 0. Nika særlig aftale med os - vores udgift: 2800+3650</t>
  </si>
  <si>
    <t>Normalt betalte trænere</t>
  </si>
  <si>
    <t>I alt</t>
  </si>
  <si>
    <t>Trænere der får gratis ophold</t>
  </si>
  <si>
    <t>2 trænere med børn, 3 udenlandske trænere</t>
  </si>
  <si>
    <t>Antal lejrledere</t>
  </si>
  <si>
    <t>Antal andre gratis ophold</t>
  </si>
  <si>
    <t>Udgifter</t>
  </si>
  <si>
    <t>pr person</t>
  </si>
  <si>
    <t>Kost &amp; Logi</t>
  </si>
  <si>
    <t>Natmad</t>
  </si>
  <si>
    <t>Trænergodtgørelser</t>
  </si>
  <si>
    <t>Udgift slikbod</t>
  </si>
  <si>
    <t>Lejrledergodtgørelser</t>
  </si>
  <si>
    <t>Særlige godtgørelser (Nika)</t>
  </si>
  <si>
    <t>Forbrugsting (tape, plaster isposer, osv.)</t>
  </si>
  <si>
    <t>Træneraftner</t>
  </si>
  <si>
    <t>T-shirts</t>
  </si>
  <si>
    <t>Diverse transportudgifter</t>
  </si>
  <si>
    <t>Samlet resultat</t>
  </si>
  <si>
    <t>Billetpris (Early Bird)</t>
  </si>
  <si>
    <t>Billetpris (Normal)</t>
  </si>
  <si>
    <t>Billetpris (Udenlands)</t>
  </si>
  <si>
    <t>€</t>
  </si>
  <si>
    <t>Løn; landstræner, sportschef, ass.træner</t>
  </si>
  <si>
    <t>Udgifter DKK</t>
  </si>
  <si>
    <t>Løn</t>
  </si>
  <si>
    <t>Konkurrencer</t>
  </si>
  <si>
    <t>fly</t>
  </si>
  <si>
    <r>
      <t xml:space="preserve">hotel; </t>
    </r>
    <r>
      <rPr>
        <i/>
        <sz val="9"/>
        <color theme="1"/>
        <rFont val="Calibri"/>
        <family val="2"/>
        <scheme val="minor"/>
      </rPr>
      <t>7 dage</t>
    </r>
  </si>
  <si>
    <t>diæt - 85%</t>
  </si>
  <si>
    <t>Rejseomkostninger, sportschef</t>
  </si>
  <si>
    <t>Rejseomkostninger, kårde-landshold; 4 personer, i alt</t>
  </si>
  <si>
    <t>Rejseomkostninger, fleuret-landshold; 4 personer, i alt</t>
  </si>
  <si>
    <t>Rejseudgifter</t>
  </si>
  <si>
    <t>Hold-</t>
  </si>
  <si>
    <t>Rejse-</t>
  </si>
  <si>
    <t>Team World Cups</t>
  </si>
  <si>
    <t>Sportschef</t>
  </si>
  <si>
    <t>Træner</t>
  </si>
  <si>
    <t>gebyr</t>
  </si>
  <si>
    <t>tilskud</t>
  </si>
  <si>
    <t>Kårde: WC Heidenheim</t>
  </si>
  <si>
    <t>Kårde:WC Vancouver</t>
  </si>
  <si>
    <t>Kårde: WC Paris</t>
  </si>
  <si>
    <t>Kårde:WC Bern</t>
  </si>
  <si>
    <t>Fleuret: WC Bonn</t>
  </si>
  <si>
    <t>Fleuret: WC Paris</t>
  </si>
  <si>
    <t>Fleuret: WC St. Petersburg</t>
  </si>
  <si>
    <t>Fleuret: WC Egypten</t>
  </si>
  <si>
    <t>Fleuret: WC Japan</t>
  </si>
  <si>
    <t>Total</t>
  </si>
  <si>
    <r>
      <t xml:space="preserve">BUDGET
2017 </t>
    </r>
    <r>
      <rPr>
        <b/>
        <i/>
        <sz val="8"/>
        <color rgb="FFFF3300"/>
        <rFont val="Calibri"/>
        <family val="2"/>
        <scheme val="minor"/>
      </rPr>
      <t xml:space="preserve">
</t>
    </r>
  </si>
  <si>
    <t>Realiseret 2016</t>
  </si>
  <si>
    <t>Godtgørelse hjælpetræner</t>
  </si>
  <si>
    <t>Realiseret + årsestimat
2017</t>
  </si>
  <si>
    <t>Estimat
REST 2017</t>
  </si>
  <si>
    <t>BUDGET
2018</t>
  </si>
  <si>
    <t>FIE-licenser - Danske dommere</t>
  </si>
  <si>
    <t>Rekruttering</t>
  </si>
  <si>
    <t>SPOR 1: Vækstprojekter i alt</t>
  </si>
  <si>
    <t>SPOR 2: Talent/Elite (Team-Danmark)</t>
  </si>
  <si>
    <t>Workshop mv.</t>
  </si>
  <si>
    <t>SPOR 3 - Udvikling Organisation mv.</t>
  </si>
  <si>
    <t>Spor 3 i alt</t>
  </si>
  <si>
    <t>Spor 2 - i alt</t>
  </si>
  <si>
    <t>Udviklingskonsulent:</t>
  </si>
  <si>
    <t>Spor 1.1 Nye klubber i Vestdanmark</t>
  </si>
  <si>
    <t>Vækst Ring 4 - KBH</t>
  </si>
  <si>
    <t>SPOR 1 - Flere fægtere: &gt; 2000 i 2021</t>
  </si>
  <si>
    <t>Hjælpetræner</t>
  </si>
  <si>
    <t>Udgifter til rekruttering</t>
  </si>
  <si>
    <t>plakater mv.</t>
  </si>
  <si>
    <t>Fægteudstyr</t>
  </si>
  <si>
    <t>Spor 1.1 i alt</t>
  </si>
  <si>
    <t>1+2+4</t>
  </si>
  <si>
    <r>
      <t xml:space="preserve">Startstøtte nye klubber </t>
    </r>
    <r>
      <rPr>
        <u/>
        <sz val="9"/>
        <color theme="1"/>
        <rFont val="Calibri"/>
        <family val="2"/>
        <scheme val="minor"/>
      </rPr>
      <t>uden</t>
    </r>
    <r>
      <rPr>
        <sz val="9"/>
        <color theme="1"/>
        <rFont val="Calibri"/>
        <family val="2"/>
        <scheme val="minor"/>
      </rPr>
      <t xml:space="preserve"> for DFF-regi</t>
    </r>
  </si>
  <si>
    <t>Spor 1.3 HEMA</t>
  </si>
  <si>
    <t>Spor 1.4 Træneruddannelse; Niv. 1+2</t>
  </si>
  <si>
    <t>Udgifter til undervisning materiel mv.</t>
  </si>
  <si>
    <t>Transport projekt/-udv.konsuslenter</t>
  </si>
  <si>
    <t>Spor 1.5 Udvikling af stævner/Lejre</t>
  </si>
  <si>
    <t>Spor 1.3 - I alt</t>
  </si>
  <si>
    <t>Spor 1.2 - I alt</t>
  </si>
  <si>
    <t>Spor 1.4 - I alt</t>
  </si>
  <si>
    <t>Løn/MW projekt</t>
  </si>
  <si>
    <t>Transport 1-5</t>
  </si>
  <si>
    <t>Spor 1.5 - I alt</t>
  </si>
  <si>
    <t>DIF-strategistøtte</t>
  </si>
  <si>
    <t>Spor 1.2 Klubudvikling; ej DFF-regi</t>
  </si>
  <si>
    <t>Udg. - "fægtemester"/underviser</t>
  </si>
  <si>
    <t>MW</t>
  </si>
  <si>
    <t>Slut 2017</t>
  </si>
  <si>
    <t>Spor 2.1 - "Resultater i verdensklasse"</t>
  </si>
  <si>
    <t>Spor 2.2+2.3 Prof.lederskab/Talentudv.miljøer</t>
  </si>
  <si>
    <t>Sportschef; Udviklingsmanual incl. ATK 2.0</t>
  </si>
  <si>
    <r>
      <rPr>
        <b/>
        <i/>
        <sz val="9"/>
        <rFont val="Calibri"/>
        <family val="2"/>
        <scheme val="minor"/>
      </rPr>
      <t xml:space="preserve">ATK </t>
    </r>
    <r>
      <rPr>
        <i/>
        <sz val="8"/>
        <rFont val="Calibri"/>
        <family val="2"/>
        <scheme val="minor"/>
      </rPr>
      <t>(Aldersrelateret Trænings Koncept)</t>
    </r>
  </si>
  <si>
    <t>Spor 1 / Vækstprojektet i alt</t>
  </si>
  <si>
    <t>Se indtægt; konto 150002</t>
  </si>
  <si>
    <t>Udgifter vedr. arbejdsgruppe samt materiel</t>
  </si>
  <si>
    <t>Klubudvikling; eksisterende klubber</t>
  </si>
  <si>
    <t>Spor 2.1 i alt</t>
  </si>
  <si>
    <t>Erhversaffald</t>
  </si>
  <si>
    <t>Administration mm.</t>
  </si>
  <si>
    <t>Administration mm. i alt</t>
  </si>
  <si>
    <t>Vækst Vest-DK (2014 - 2017)</t>
  </si>
  <si>
    <t>PROGNOSE
2021</t>
  </si>
  <si>
    <t>Ny konto fra 2018</t>
  </si>
  <si>
    <t>TD: 330 + Salling fond 110</t>
  </si>
  <si>
    <t>PROGNOSE
2020
(OL-år Tokyo)</t>
  </si>
  <si>
    <t>Lønstigninger IKKE medtaget</t>
  </si>
  <si>
    <t>Spor 2.2 + 2.3 i alt</t>
  </si>
  <si>
    <t>Start 2018</t>
  </si>
  <si>
    <t>Stævnestøtte - Senior</t>
  </si>
  <si>
    <t xml:space="preserve">Lønstigninger IKKE medtaget &gt;&gt;&gt;  </t>
  </si>
  <si>
    <t xml:space="preserve">Møder, Udstyr mv. </t>
  </si>
  <si>
    <t>Egenkapital</t>
  </si>
  <si>
    <t>Salling fonden</t>
  </si>
  <si>
    <t>DFF Elite Program Budget 2018</t>
  </si>
  <si>
    <t>70% af tid på senior og program; 30% på junior og kadet</t>
  </si>
  <si>
    <t>Landstræner/ Konsulent Trænere</t>
  </si>
  <si>
    <t>60% af tid på senior og program; 40% på J&amp;K samt trænerkursus</t>
  </si>
  <si>
    <t>Kårde Konsulent Træner</t>
  </si>
  <si>
    <t>Fleuret Konsulent Træner</t>
  </si>
  <si>
    <t>Senior EM - Novi Sad, Serbia (16.-21. juni)</t>
  </si>
  <si>
    <t>Transport + indkvartering + diæter</t>
  </si>
  <si>
    <t>Rejseomkostninger, træner kårde</t>
  </si>
  <si>
    <t>Rejseomkostninger, træner fleuret</t>
  </si>
  <si>
    <t>Tilskud til transport og ophold</t>
  </si>
  <si>
    <t>Rejseomkostninger, træner 1</t>
  </si>
  <si>
    <t>Rejseomkostninger, træner 2</t>
  </si>
  <si>
    <t xml:space="preserve"> </t>
  </si>
  <si>
    <t>Kårde: WC Legnano</t>
  </si>
  <si>
    <t>Rejse/Ophold-</t>
  </si>
  <si>
    <t>Pre-season</t>
  </si>
  <si>
    <t>Seasonal Camps</t>
  </si>
  <si>
    <t>Karup træningsamling</t>
  </si>
  <si>
    <t>5 x Bruttotrup træningsamling om året</t>
  </si>
  <si>
    <t>Pre-VM</t>
  </si>
  <si>
    <t>5 x 5 dage med løn- 2.500/dag</t>
  </si>
  <si>
    <t>5 x 3 dage med løn- 2.500/dag</t>
  </si>
  <si>
    <t>(10 diæt-dage - 498 kr./dag) Ankomst 11/6 - Afrejse 17/6</t>
  </si>
  <si>
    <t>(8 diæt-dage - 498 kr./dag) Ankomst 11/6 - Afrejse 17/6</t>
  </si>
  <si>
    <t>Materiel til videresalg incl. fragt heraf</t>
  </si>
  <si>
    <t>Ny konto/se 150007</t>
  </si>
  <si>
    <t>se 410106</t>
  </si>
  <si>
    <r>
      <t xml:space="preserve">Ferie / </t>
    </r>
    <r>
      <rPr>
        <i/>
        <sz val="8"/>
        <color rgb="FFFF0000"/>
        <rFont val="Calibri"/>
        <family val="2"/>
        <scheme val="minor"/>
      </rPr>
      <t>2018:bruge lønkonti som modpost</t>
    </r>
  </si>
  <si>
    <t>Estimat
REST 2018</t>
  </si>
  <si>
    <t xml:space="preserve"> Løn (Sportschef, Landstræner m.fl.)</t>
  </si>
  <si>
    <t>Stævneophold - 2018 &gt; J&amp;K + senior</t>
  </si>
  <si>
    <r>
      <t xml:space="preserve">hotel
</t>
    </r>
    <r>
      <rPr>
        <i/>
        <sz val="9"/>
        <rFont val="Calibri"/>
        <family val="2"/>
        <scheme val="minor"/>
      </rPr>
      <t>9 dage</t>
    </r>
  </si>
  <si>
    <t>Shuttle bus</t>
  </si>
  <si>
    <t>EM &amp; VM</t>
  </si>
  <si>
    <t>CDD, rejser</t>
  </si>
  <si>
    <t xml:space="preserve">CDD, indkvartering </t>
  </si>
  <si>
    <t>CDD, diæter</t>
  </si>
  <si>
    <t>excl. Elite-projekt pga. J&amp;K</t>
  </si>
  <si>
    <r>
      <t xml:space="preserve">Omkostninger (CDD) </t>
    </r>
    <r>
      <rPr>
        <b/>
        <i/>
        <sz val="9"/>
        <rFont val="Calibri"/>
        <family val="2"/>
        <scheme val="minor"/>
      </rPr>
      <t>Kadet og Junior</t>
    </r>
  </si>
  <si>
    <t xml:space="preserve">World Cup Holddeltagelse </t>
  </si>
  <si>
    <t>Løn - Sporschef</t>
  </si>
  <si>
    <t>Løn til landstrænere</t>
  </si>
  <si>
    <t>Ad hoc træner kårde/fleuret</t>
  </si>
  <si>
    <t>Link</t>
  </si>
  <si>
    <t>Træningslejre</t>
  </si>
  <si>
    <t>incl. DIF-kurser</t>
  </si>
  <si>
    <t>DIF: Viderefaktureres 1:1</t>
  </si>
  <si>
    <t>Transport/ophold projekt/-udv.konsuslenter</t>
  </si>
  <si>
    <t>Omfordelt 4x35K: år &gt; &lt; år</t>
  </si>
  <si>
    <t xml:space="preserve">Realiseret
2017
</t>
  </si>
  <si>
    <t>Diverse indtægter + bladindtægter</t>
  </si>
  <si>
    <t>Træner-/dommerkursus- deltagerbetaling</t>
  </si>
  <si>
    <t>+DFF</t>
  </si>
  <si>
    <t>Salg/Avance af licencer - FIE + ECF + DFF</t>
  </si>
  <si>
    <t>Realiseret + årsestimat
2018</t>
  </si>
  <si>
    <t>DFF Sommerlejr 2018</t>
  </si>
  <si>
    <t>Samlet antal deltagere</t>
  </si>
  <si>
    <t>Antal betalende danske deltagere (Early bird)</t>
  </si>
  <si>
    <t>&gt;&gt;&gt;&gt;&gt;&gt;&gt;&gt;&gt;&gt;&gt;&gt;&gt;&gt;&gt;&gt;&gt;&gt;&gt;&gt;&gt;&gt;&gt;&gt;&gt;&gt;&gt;&gt;&gt;&gt;&gt;&gt;&gt;&gt;&gt;&gt;</t>
  </si>
  <si>
    <t>Antal betalende danske deltagere (normal pris)</t>
  </si>
  <si>
    <t>Antal betalende udenlandske deltagere</t>
  </si>
  <si>
    <t>Antal gratis deltagere</t>
  </si>
  <si>
    <t>Balance</t>
  </si>
  <si>
    <t>Ændring</t>
  </si>
  <si>
    <t>Indtægt slikbod</t>
  </si>
  <si>
    <t>Samlet antal afviklere</t>
  </si>
  <si>
    <t>Ekstraordinært lønnede trænere</t>
  </si>
  <si>
    <t>Ordinært lønnede trænere</t>
  </si>
  <si>
    <t>*</t>
  </si>
  <si>
    <t>**</t>
  </si>
  <si>
    <t>***</t>
  </si>
  <si>
    <t>****</t>
  </si>
  <si>
    <t>Estimeret pris pr. person</t>
  </si>
  <si>
    <t>* bygges ind i slikbod</t>
  </si>
  <si>
    <t>Særlige godtgørelser</t>
  </si>
  <si>
    <t>Forbrugsting (print, tape, plaster isposer, osv.)</t>
  </si>
  <si>
    <t>Træneraftner (Mads E)</t>
  </si>
  <si>
    <t>Træneraftner (Vandrehjem)</t>
  </si>
  <si>
    <t>Udgift slikbod (køb af slik)</t>
  </si>
  <si>
    <t xml:space="preserve">I alt </t>
  </si>
  <si>
    <t>DKK</t>
  </si>
  <si>
    <t>Billetpris (Udenlands) EURO</t>
  </si>
  <si>
    <t>EURO</t>
  </si>
  <si>
    <r>
      <rPr>
        <sz val="11"/>
        <color theme="1"/>
        <rFont val="Calibri"/>
        <family val="2"/>
      </rPr>
      <t xml:space="preserve">↓ </t>
    </r>
    <r>
      <rPr>
        <sz val="11"/>
        <color theme="1"/>
        <rFont val="Calibri"/>
        <family val="2"/>
        <scheme val="minor"/>
      </rPr>
      <t>kurs ↓</t>
    </r>
  </si>
  <si>
    <t>Billetpris (Udenlands) DKK</t>
  </si>
  <si>
    <t>Senior VM - Wuxi, China (20. - 27- juli)</t>
  </si>
  <si>
    <t>Startgebyr - individuel (55 € pr. person)</t>
  </si>
  <si>
    <t>Startgebyr - Kårdehold (140 € pr. hold)</t>
  </si>
  <si>
    <t>Startgebyr - Fleurethold (140 € pr. hold)</t>
  </si>
  <si>
    <t>Dommergebyr (70 € pr. person)</t>
  </si>
  <si>
    <t>DIF-tilskud Grundtilskud</t>
  </si>
  <si>
    <t>Salg af udstyr og fragt samt merchandice</t>
  </si>
  <si>
    <t>Budgetteret Resultat</t>
  </si>
  <si>
    <t>Deltagerbetaling - Veteran VM</t>
  </si>
  <si>
    <t>Deltagerbetaling - Veteran EM</t>
  </si>
  <si>
    <t>Ny konto i 2018</t>
  </si>
  <si>
    <t>Se spor 2.3</t>
  </si>
  <si>
    <t>Stævne- og lejrudvalg</t>
  </si>
  <si>
    <t>Nyt udvalg 2019</t>
  </si>
  <si>
    <t>&gt;&gt; Vetrankomité</t>
  </si>
  <si>
    <t>SL Udvalgsmøder</t>
  </si>
  <si>
    <t>SL udvalgsmøder - Ophold</t>
  </si>
  <si>
    <t>SL udvalgsmøder -Transport</t>
  </si>
  <si>
    <t>SL udvalgsmøder -Fortæring</t>
  </si>
  <si>
    <t>SL Udvalgsmøder i alt</t>
  </si>
  <si>
    <t>SL Øvrige ??</t>
  </si>
  <si>
    <t>Veteranudvalgsarbejde - Diverse</t>
  </si>
  <si>
    <t>Øvrige udgifter?</t>
  </si>
  <si>
    <t>SL Øvrige i alt</t>
  </si>
  <si>
    <t>Stævne-og lejrudvalg i alt</t>
  </si>
  <si>
    <t>BUDGET
2019</t>
  </si>
  <si>
    <t>J&amp;J + Sen.; excl. Senior Hold</t>
  </si>
  <si>
    <t>Karen Lachmann's Legat</t>
  </si>
  <si>
    <t>Kommunikation &amp; Sponsorkomité</t>
  </si>
  <si>
    <t>K&amp;S udvalgsmøder -Transport</t>
  </si>
  <si>
    <t>K&amp;S udvalgsmøder -Fortæring</t>
  </si>
  <si>
    <t>K&amp;S udvalgsmøder - Ophold</t>
  </si>
  <si>
    <t>K&amp;S Udvalgsarbejde - Diverse</t>
  </si>
  <si>
    <t>Ny komité 2019</t>
  </si>
  <si>
    <t>K&amp;S Udvalg i alt</t>
  </si>
  <si>
    <t>Veteranudvalg &gt;&gt;</t>
  </si>
  <si>
    <t>Stævnetransport og -ophold (CDD)</t>
  </si>
  <si>
    <t>Stævne - Diæter/fortæring/Honorar</t>
  </si>
  <si>
    <t>J&amp;K EM &amp; VM</t>
  </si>
  <si>
    <t>For 2019; se konti</t>
  </si>
  <si>
    <t>430222+340223</t>
  </si>
  <si>
    <t>Incl. Komité-arb.</t>
  </si>
  <si>
    <t>Slut 2017 &gt; spor 2.2/2.3</t>
  </si>
  <si>
    <t>Senior EM; startgebyr hold + støtte</t>
  </si>
  <si>
    <t>Senior VM; startgebyr hold + støtte</t>
  </si>
  <si>
    <t>&gt; Udviklingsudvalg</t>
  </si>
  <si>
    <t>&gt; Uddannelsesudvalg</t>
  </si>
  <si>
    <t>&gt; Talent- og Eliteudvalg</t>
  </si>
  <si>
    <t>&gt; Vetrankomité</t>
  </si>
  <si>
    <r>
      <t xml:space="preserve">Realiseret
2018
</t>
    </r>
    <r>
      <rPr>
        <b/>
        <i/>
        <sz val="8"/>
        <color theme="1"/>
        <rFont val="Calibri"/>
        <family val="2"/>
        <scheme val="minor"/>
      </rPr>
      <t>31/12-18</t>
    </r>
  </si>
  <si>
    <t>Regnskabsprogram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</si>
</sst>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kr.&quot;\ #,##0;[Red]&quot;kr.&quot;\ \-#,##0"/>
    <numFmt numFmtId="164" formatCode="#,##0\ [$€-1];[Red]\-#,##0\ [$€-1]"/>
    <numFmt numFmtId="165" formatCode="0.0%"/>
    <numFmt numFmtId="166" formatCode="#,##0.00000"/>
    <numFmt numFmtId="167" formatCode="#,##0_ ;[Red]\-#,##0\ "/>
  </numFmts>
  <fonts count="8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rgb="FF000000"/>
      <name val="DIF"/>
    </font>
    <font>
      <sz val="11"/>
      <color rgb="FFFF000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33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indexed="81"/>
      <name val="Tahoma"/>
      <family val="2"/>
    </font>
    <font>
      <i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7030A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9"/>
      <color indexed="81"/>
      <name val="Tahoma"/>
      <family val="2"/>
    </font>
    <font>
      <b/>
      <sz val="8"/>
      <color rgb="FFFF0000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8"/>
      <color rgb="FF0070C0"/>
      <name val="Calibri"/>
      <family val="2"/>
      <scheme val="minor"/>
    </font>
    <font>
      <b/>
      <i/>
      <sz val="8"/>
      <color theme="0" tint="-0.499984740745262"/>
      <name val="Calibri"/>
      <family val="2"/>
      <scheme val="minor"/>
    </font>
    <font>
      <b/>
      <sz val="9"/>
      <color rgb="FFFFFF00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6" tint="0.59999389629810485"/>
      <name val="Calibri"/>
      <family val="2"/>
      <scheme val="minor"/>
    </font>
    <font>
      <sz val="8"/>
      <color theme="1" tint="0.14999847407452621"/>
      <name val="Calibri"/>
      <family val="2"/>
      <scheme val="minor"/>
    </font>
    <font>
      <b/>
      <i/>
      <sz val="8"/>
      <color rgb="FFFF330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8"/>
      <color theme="3" tint="-0.249977111117893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8"/>
      <color rgb="FFFFFF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theme="1"/>
      <name val="Calibri"/>
      <family val="2"/>
    </font>
    <font>
      <i/>
      <sz val="8"/>
      <color rgb="FFFFFF00"/>
      <name val="Calibri"/>
      <family val="2"/>
      <scheme val="minor"/>
    </font>
    <font>
      <i/>
      <sz val="8"/>
      <color rgb="FF00FF00"/>
      <name val="Calibri"/>
      <family val="2"/>
      <scheme val="minor"/>
    </font>
    <font>
      <sz val="8"/>
      <color rgb="FF00FF00"/>
      <name val="Calibri"/>
      <family val="2"/>
      <scheme val="minor"/>
    </font>
    <font>
      <b/>
      <i/>
      <sz val="8"/>
      <color rgb="FF00FF00"/>
      <name val="Calibri"/>
      <family val="2"/>
      <scheme val="minor"/>
    </font>
    <font>
      <b/>
      <sz val="9"/>
      <color rgb="FF00FF00"/>
      <name val="Calibri"/>
      <family val="2"/>
      <scheme val="minor"/>
    </font>
    <font>
      <b/>
      <sz val="8"/>
      <color rgb="FF00FF00"/>
      <name val="Calibri"/>
      <family val="2"/>
      <scheme val="minor"/>
    </font>
    <font>
      <i/>
      <sz val="7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i/>
      <sz val="8"/>
      <color theme="0" tint="-0.1499984740745262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9C9"/>
        <bgColor indexed="64"/>
      </patternFill>
    </fill>
    <fill>
      <patternFill patternType="solid">
        <fgColor rgb="FF7CF09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8B8B"/>
        <bgColor indexed="64"/>
      </patternFill>
    </fill>
    <fill>
      <patternFill patternType="solid">
        <fgColor rgb="FFFFD54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/>
      <bottom style="double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/>
      <right style="mediumDashed">
        <color indexed="64"/>
      </right>
      <top/>
      <bottom style="double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 style="mediumDashed">
        <color indexed="64"/>
      </left>
      <right style="mediumDashed">
        <color auto="1"/>
      </right>
      <top/>
      <bottom style="thin">
        <color indexed="64"/>
      </bottom>
      <diagonal/>
    </border>
    <border>
      <left style="mediumDashed">
        <color indexed="64"/>
      </left>
      <right style="mediumDashed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68" fillId="0" borderId="0" applyNumberFormat="0" applyFill="0" applyBorder="0" applyAlignment="0" applyProtection="0"/>
  </cellStyleXfs>
  <cellXfs count="489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right"/>
    </xf>
    <xf numFmtId="0" fontId="4" fillId="0" borderId="0" xfId="0" applyFont="1"/>
    <xf numFmtId="3" fontId="0" fillId="0" borderId="0" xfId="0" applyNumberFormat="1"/>
    <xf numFmtId="0" fontId="10" fillId="0" borderId="0" xfId="0" applyFont="1" applyAlignment="1">
      <alignment vertical="top" wrapText="1"/>
    </xf>
    <xf numFmtId="0" fontId="11" fillId="0" borderId="0" xfId="0" applyFont="1"/>
    <xf numFmtId="0" fontId="10" fillId="0" borderId="0" xfId="0" applyFont="1"/>
    <xf numFmtId="0" fontId="11" fillId="4" borderId="0" xfId="0" applyFont="1" applyFill="1"/>
    <xf numFmtId="0" fontId="10" fillId="4" borderId="0" xfId="0" applyFont="1" applyFill="1"/>
    <xf numFmtId="0" fontId="10" fillId="5" borderId="0" xfId="0" applyFont="1" applyFill="1"/>
    <xf numFmtId="4" fontId="0" fillId="0" borderId="0" xfId="0" applyNumberFormat="1"/>
    <xf numFmtId="4" fontId="1" fillId="0" borderId="0" xfId="0" applyNumberFormat="1" applyFont="1"/>
    <xf numFmtId="0" fontId="14" fillId="0" borderId="0" xfId="0" applyFont="1"/>
    <xf numFmtId="0" fontId="16" fillId="0" borderId="0" xfId="0" applyFont="1"/>
    <xf numFmtId="3" fontId="17" fillId="0" borderId="0" xfId="0" applyNumberFormat="1" applyFont="1"/>
    <xf numFmtId="0" fontId="17" fillId="0" borderId="0" xfId="0" applyFont="1"/>
    <xf numFmtId="0" fontId="19" fillId="0" borderId="0" xfId="0" applyFont="1"/>
    <xf numFmtId="3" fontId="19" fillId="0" borderId="0" xfId="0" applyNumberFormat="1" applyFont="1"/>
    <xf numFmtId="4" fontId="19" fillId="0" borderId="0" xfId="0" applyNumberFormat="1" applyFont="1"/>
    <xf numFmtId="4" fontId="17" fillId="0" borderId="0" xfId="0" applyNumberFormat="1" applyFont="1"/>
    <xf numFmtId="3" fontId="20" fillId="0" borderId="0" xfId="0" applyNumberFormat="1" applyFont="1"/>
    <xf numFmtId="0" fontId="21" fillId="0" borderId="0" xfId="0" applyFont="1"/>
    <xf numFmtId="0" fontId="11" fillId="6" borderId="0" xfId="0" applyFont="1" applyFill="1"/>
    <xf numFmtId="0" fontId="8" fillId="0" borderId="0" xfId="0" applyFont="1"/>
    <xf numFmtId="0" fontId="11" fillId="9" borderId="0" xfId="0" applyFont="1" applyFill="1"/>
    <xf numFmtId="0" fontId="11" fillId="10" borderId="0" xfId="0" applyFont="1" applyFill="1"/>
    <xf numFmtId="164" fontId="21" fillId="0" borderId="0" xfId="0" applyNumberFormat="1" applyFont="1" applyAlignment="1">
      <alignment horizontal="left"/>
    </xf>
    <xf numFmtId="0" fontId="27" fillId="7" borderId="0" xfId="0" applyFont="1" applyFill="1"/>
    <xf numFmtId="0" fontId="2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23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21" fillId="2" borderId="0" xfId="0" applyFont="1" applyFill="1"/>
    <xf numFmtId="0" fontId="2" fillId="2" borderId="0" xfId="0" applyFont="1" applyFill="1"/>
    <xf numFmtId="0" fontId="5" fillId="13" borderId="0" xfId="0" applyFont="1" applyFill="1" applyAlignment="1">
      <alignment horizontal="right"/>
    </xf>
    <xf numFmtId="0" fontId="10" fillId="13" borderId="0" xfId="0" applyFont="1" applyFill="1"/>
    <xf numFmtId="0" fontId="21" fillId="0" borderId="0" xfId="0" applyFont="1" applyAlignment="1">
      <alignment vertical="top"/>
    </xf>
    <xf numFmtId="0" fontId="29" fillId="0" borderId="0" xfId="0" applyFont="1"/>
    <xf numFmtId="0" fontId="10" fillId="14" borderId="0" xfId="0" applyFont="1" applyFill="1"/>
    <xf numFmtId="0" fontId="28" fillId="0" borderId="0" xfId="0" applyFont="1"/>
    <xf numFmtId="3" fontId="22" fillId="0" borderId="0" xfId="0" applyNumberFormat="1" applyFont="1"/>
    <xf numFmtId="0" fontId="23" fillId="2" borderId="0" xfId="0" applyFont="1" applyFill="1" applyAlignment="1">
      <alignment horizontal="right"/>
    </xf>
    <xf numFmtId="0" fontId="10" fillId="8" borderId="0" xfId="0" applyFont="1" applyFill="1"/>
    <xf numFmtId="0" fontId="10" fillId="12" borderId="0" xfId="0" applyFont="1" applyFill="1"/>
    <xf numFmtId="0" fontId="11" fillId="12" borderId="1" xfId="0" applyFont="1" applyFill="1" applyBorder="1"/>
    <xf numFmtId="0" fontId="11" fillId="3" borderId="0" xfId="0" applyFont="1" applyFill="1"/>
    <xf numFmtId="0" fontId="11" fillId="5" borderId="0" xfId="0" applyFont="1" applyFill="1"/>
    <xf numFmtId="0" fontId="31" fillId="15" borderId="0" xfId="0" applyFont="1" applyFill="1"/>
    <xf numFmtId="0" fontId="10" fillId="11" borderId="0" xfId="0" applyFont="1" applyFill="1"/>
    <xf numFmtId="0" fontId="11" fillId="16" borderId="0" xfId="0" applyFont="1" applyFill="1"/>
    <xf numFmtId="0" fontId="30" fillId="0" borderId="0" xfId="0" applyFont="1"/>
    <xf numFmtId="0" fontId="32" fillId="0" borderId="0" xfId="0" applyFont="1"/>
    <xf numFmtId="0" fontId="32" fillId="2" borderId="0" xfId="0" applyFont="1" applyFill="1"/>
    <xf numFmtId="0" fontId="33" fillId="0" borderId="0" xfId="0" applyFont="1" applyAlignment="1">
      <alignment horizontal="center" vertical="center" wrapText="1"/>
    </xf>
    <xf numFmtId="0" fontId="4" fillId="2" borderId="0" xfId="0" applyFont="1" applyFill="1"/>
    <xf numFmtId="0" fontId="26" fillId="2" borderId="0" xfId="0" applyFont="1" applyFill="1" applyAlignment="1">
      <alignment horizontal="right"/>
    </xf>
    <xf numFmtId="0" fontId="21" fillId="0" borderId="0" xfId="0" applyFont="1" applyAlignment="1">
      <alignment wrapText="1"/>
    </xf>
    <xf numFmtId="3" fontId="3" fillId="0" borderId="0" xfId="0" applyNumberFormat="1" applyFont="1"/>
    <xf numFmtId="0" fontId="24" fillId="0" borderId="0" xfId="0" applyFont="1" applyAlignment="1">
      <alignment wrapText="1"/>
    </xf>
    <xf numFmtId="0" fontId="9" fillId="2" borderId="0" xfId="0" applyFont="1" applyFill="1" applyAlignment="1">
      <alignment horizontal="center" vertical="top" wrapText="1"/>
    </xf>
    <xf numFmtId="0" fontId="35" fillId="0" borderId="0" xfId="0" applyFont="1"/>
    <xf numFmtId="0" fontId="24" fillId="0" borderId="0" xfId="0" applyFont="1"/>
    <xf numFmtId="0" fontId="36" fillId="17" borderId="0" xfId="0" applyFont="1" applyFill="1"/>
    <xf numFmtId="0" fontId="36" fillId="0" borderId="0" xfId="0" applyFont="1"/>
    <xf numFmtId="0" fontId="32" fillId="17" borderId="0" xfId="0" applyFont="1" applyFill="1"/>
    <xf numFmtId="3" fontId="22" fillId="17" borderId="0" xfId="0" applyNumberFormat="1" applyFont="1" applyFill="1"/>
    <xf numFmtId="0" fontId="38" fillId="17" borderId="0" xfId="0" applyFont="1" applyFill="1" applyAlignment="1">
      <alignment horizontal="left"/>
    </xf>
    <xf numFmtId="0" fontId="38" fillId="17" borderId="0" xfId="0" applyFont="1" applyFill="1"/>
    <xf numFmtId="3" fontId="28" fillId="0" borderId="0" xfId="0" applyNumberFormat="1" applyFont="1"/>
    <xf numFmtId="0" fontId="21" fillId="0" borderId="0" xfId="0" applyFont="1" applyAlignment="1">
      <alignment vertical="center"/>
    </xf>
    <xf numFmtId="2" fontId="0" fillId="0" borderId="0" xfId="0" applyNumberFormat="1"/>
    <xf numFmtId="0" fontId="13" fillId="0" borderId="0" xfId="0" applyFont="1"/>
    <xf numFmtId="0" fontId="37" fillId="0" borderId="0" xfId="0" applyFont="1"/>
    <xf numFmtId="1" fontId="2" fillId="0" borderId="0" xfId="0" applyNumberFormat="1" applyFont="1"/>
    <xf numFmtId="3" fontId="16" fillId="0" borderId="0" xfId="0" applyNumberFormat="1" applyFont="1"/>
    <xf numFmtId="3" fontId="14" fillId="0" borderId="0" xfId="0" applyNumberFormat="1" applyFont="1"/>
    <xf numFmtId="0" fontId="15" fillId="0" borderId="0" xfId="0" applyFont="1"/>
    <xf numFmtId="6" fontId="18" fillId="0" borderId="0" xfId="0" applyNumberFormat="1" applyFont="1" applyAlignment="1">
      <alignment horizontal="justify" vertical="center" wrapText="1"/>
    </xf>
    <xf numFmtId="4" fontId="12" fillId="0" borderId="0" xfId="0" applyNumberFormat="1" applyFont="1"/>
    <xf numFmtId="3" fontId="12" fillId="0" borderId="0" xfId="0" applyNumberFormat="1" applyFont="1"/>
    <xf numFmtId="0" fontId="43" fillId="0" borderId="0" xfId="0" applyFont="1"/>
    <xf numFmtId="4" fontId="0" fillId="21" borderId="7" xfId="0" applyNumberFormat="1" applyFill="1" applyBorder="1"/>
    <xf numFmtId="0" fontId="2" fillId="21" borderId="8" xfId="0" applyFont="1" applyFill="1" applyBorder="1"/>
    <xf numFmtId="0" fontId="28" fillId="0" borderId="0" xfId="0" applyFont="1" applyAlignment="1">
      <alignment horizontal="center"/>
    </xf>
    <xf numFmtId="0" fontId="42" fillId="7" borderId="0" xfId="0" applyFont="1" applyFill="1"/>
    <xf numFmtId="0" fontId="21" fillId="0" borderId="0" xfId="0" applyFont="1" applyAlignment="1">
      <alignment horizontal="right"/>
    </xf>
    <xf numFmtId="0" fontId="7" fillId="21" borderId="0" xfId="0" applyFont="1" applyFill="1"/>
    <xf numFmtId="0" fontId="45" fillId="21" borderId="0" xfId="0" applyFont="1" applyFill="1"/>
    <xf numFmtId="0" fontId="21" fillId="21" borderId="9" xfId="0" applyFont="1" applyFill="1" applyBorder="1"/>
    <xf numFmtId="0" fontId="21" fillId="21" borderId="0" xfId="0" applyFont="1" applyFill="1"/>
    <xf numFmtId="3" fontId="21" fillId="21" borderId="0" xfId="0" applyNumberFormat="1" applyFont="1" applyFill="1"/>
    <xf numFmtId="3" fontId="21" fillId="21" borderId="10" xfId="0" applyNumberFormat="1" applyFont="1" applyFill="1" applyBorder="1"/>
    <xf numFmtId="3" fontId="24" fillId="21" borderId="3" xfId="0" applyNumberFormat="1" applyFont="1" applyFill="1" applyBorder="1"/>
    <xf numFmtId="3" fontId="24" fillId="21" borderId="4" xfId="0" applyNumberFormat="1" applyFont="1" applyFill="1" applyBorder="1"/>
    <xf numFmtId="0" fontId="21" fillId="21" borderId="11" xfId="0" applyFont="1" applyFill="1" applyBorder="1"/>
    <xf numFmtId="0" fontId="21" fillId="21" borderId="1" xfId="0" applyFont="1" applyFill="1" applyBorder="1"/>
    <xf numFmtId="3" fontId="21" fillId="21" borderId="1" xfId="0" applyNumberFormat="1" applyFont="1" applyFill="1" applyBorder="1"/>
    <xf numFmtId="3" fontId="21" fillId="21" borderId="12" xfId="0" applyNumberFormat="1" applyFont="1" applyFill="1" applyBorder="1"/>
    <xf numFmtId="3" fontId="24" fillId="21" borderId="5" xfId="0" applyNumberFormat="1" applyFont="1" applyFill="1" applyBorder="1"/>
    <xf numFmtId="4" fontId="39" fillId="21" borderId="6" xfId="0" applyNumberFormat="1" applyFont="1" applyFill="1" applyBorder="1"/>
    <xf numFmtId="4" fontId="21" fillId="21" borderId="11" xfId="0" applyNumberFormat="1" applyFont="1" applyFill="1" applyBorder="1"/>
    <xf numFmtId="4" fontId="21" fillId="21" borderId="1" xfId="0" applyNumberFormat="1" applyFont="1" applyFill="1" applyBorder="1"/>
    <xf numFmtId="0" fontId="21" fillId="21" borderId="1" xfId="0" applyFont="1" applyFill="1" applyBorder="1" applyAlignment="1">
      <alignment horizontal="right"/>
    </xf>
    <xf numFmtId="0" fontId="21" fillId="21" borderId="12" xfId="0" applyFont="1" applyFill="1" applyBorder="1" applyAlignment="1">
      <alignment horizontal="right"/>
    </xf>
    <xf numFmtId="0" fontId="29" fillId="0" borderId="0" xfId="0" applyFont="1" applyAlignment="1">
      <alignment horizontal="center" vertical="top" wrapText="1"/>
    </xf>
    <xf numFmtId="0" fontId="28" fillId="0" borderId="0" xfId="0" applyFont="1" applyAlignment="1">
      <alignment horizontal="right"/>
    </xf>
    <xf numFmtId="0" fontId="29" fillId="4" borderId="0" xfId="0" applyFont="1" applyFill="1" applyAlignment="1">
      <alignment horizontal="right"/>
    </xf>
    <xf numFmtId="0" fontId="29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28" fillId="0" borderId="0" xfId="0" applyFont="1" applyAlignment="1">
      <alignment horizontal="left" indent="1"/>
    </xf>
    <xf numFmtId="0" fontId="47" fillId="0" borderId="0" xfId="0" applyFont="1" applyAlignment="1">
      <alignment horizontal="right"/>
    </xf>
    <xf numFmtId="0" fontId="21" fillId="13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3" fontId="21" fillId="0" borderId="0" xfId="0" applyNumberFormat="1" applyFont="1"/>
    <xf numFmtId="4" fontId="22" fillId="0" borderId="0" xfId="0" applyNumberFormat="1" applyFont="1"/>
    <xf numFmtId="4" fontId="28" fillId="0" borderId="0" xfId="0" applyNumberFormat="1" applyFont="1"/>
    <xf numFmtId="4" fontId="32" fillId="0" borderId="0" xfId="0" applyNumberFormat="1" applyFont="1"/>
    <xf numFmtId="0" fontId="46" fillId="20" borderId="0" xfId="0" applyFont="1" applyFill="1"/>
    <xf numFmtId="0" fontId="34" fillId="20" borderId="0" xfId="0" applyFont="1" applyFill="1" applyAlignment="1">
      <alignment horizontal="right"/>
    </xf>
    <xf numFmtId="0" fontId="46" fillId="20" borderId="0" xfId="0" applyFont="1" applyFill="1" applyAlignment="1">
      <alignment horizontal="right"/>
    </xf>
    <xf numFmtId="0" fontId="36" fillId="18" borderId="0" xfId="0" applyFont="1" applyFill="1"/>
    <xf numFmtId="0" fontId="4" fillId="18" borderId="0" xfId="0" applyFont="1" applyFill="1"/>
    <xf numFmtId="0" fontId="32" fillId="18" borderId="0" xfId="0" applyFont="1" applyFill="1"/>
    <xf numFmtId="0" fontId="48" fillId="7" borderId="0" xfId="0" applyFont="1" applyFill="1"/>
    <xf numFmtId="0" fontId="40" fillId="18" borderId="0" xfId="0" applyFont="1" applyFill="1"/>
    <xf numFmtId="0" fontId="32" fillId="0" borderId="0" xfId="0" applyFont="1" applyAlignment="1">
      <alignment horizontal="left"/>
    </xf>
    <xf numFmtId="0" fontId="21" fillId="0" borderId="0" xfId="0" applyFont="1" applyAlignment="1">
      <alignment vertical="top" wrapText="1"/>
    </xf>
    <xf numFmtId="0" fontId="29" fillId="4" borderId="0" xfId="0" applyFont="1" applyFill="1"/>
    <xf numFmtId="0" fontId="49" fillId="0" borderId="0" xfId="0" applyFont="1"/>
    <xf numFmtId="0" fontId="21" fillId="4" borderId="0" xfId="0" applyFont="1" applyFill="1"/>
    <xf numFmtId="0" fontId="29" fillId="12" borderId="1" xfId="0" applyFont="1" applyFill="1" applyBorder="1"/>
    <xf numFmtId="0" fontId="21" fillId="3" borderId="0" xfId="0" applyFont="1" applyFill="1"/>
    <xf numFmtId="0" fontId="49" fillId="18" borderId="0" xfId="0" applyFont="1" applyFill="1"/>
    <xf numFmtId="0" fontId="21" fillId="5" borderId="0" xfId="0" applyFont="1" applyFill="1"/>
    <xf numFmtId="0" fontId="38" fillId="18" borderId="0" xfId="0" applyFont="1" applyFill="1"/>
    <xf numFmtId="0" fontId="50" fillId="15" borderId="0" xfId="0" applyFont="1" applyFill="1"/>
    <xf numFmtId="0" fontId="47" fillId="0" borderId="0" xfId="0" applyFont="1"/>
    <xf numFmtId="0" fontId="28" fillId="18" borderId="0" xfId="0" applyFont="1" applyFill="1"/>
    <xf numFmtId="0" fontId="28" fillId="2" borderId="0" xfId="0" applyFont="1" applyFill="1"/>
    <xf numFmtId="0" fontId="28" fillId="17" borderId="0" xfId="0" applyFont="1" applyFill="1"/>
    <xf numFmtId="3" fontId="28" fillId="17" borderId="0" xfId="0" applyNumberFormat="1" applyFont="1" applyFill="1"/>
    <xf numFmtId="3" fontId="28" fillId="0" borderId="0" xfId="0" applyNumberFormat="1" applyFont="1" applyAlignment="1">
      <alignment horizontal="right"/>
    </xf>
    <xf numFmtId="4" fontId="28" fillId="18" borderId="0" xfId="0" applyNumberFormat="1" applyFont="1" applyFill="1"/>
    <xf numFmtId="0" fontId="45" fillId="0" borderId="0" xfId="0" applyFont="1" applyAlignment="1">
      <alignment horizontal="center"/>
    </xf>
    <xf numFmtId="0" fontId="21" fillId="10" borderId="0" xfId="0" applyFont="1" applyFill="1"/>
    <xf numFmtId="0" fontId="21" fillId="9" borderId="0" xfId="0" applyFont="1" applyFill="1"/>
    <xf numFmtId="0" fontId="29" fillId="0" borderId="0" xfId="0" applyFont="1" applyAlignment="1">
      <alignment horizontal="right" vertical="center" wrapText="1"/>
    </xf>
    <xf numFmtId="0" fontId="21" fillId="6" borderId="0" xfId="0" applyFont="1" applyFill="1"/>
    <xf numFmtId="0" fontId="29" fillId="16" borderId="0" xfId="0" applyFont="1" applyFill="1"/>
    <xf numFmtId="0" fontId="51" fillId="8" borderId="0" xfId="0" applyFont="1" applyFill="1"/>
    <xf numFmtId="0" fontId="28" fillId="0" borderId="0" xfId="0" applyFont="1" applyAlignment="1">
      <alignment horizontal="left"/>
    </xf>
    <xf numFmtId="0" fontId="21" fillId="14" borderId="0" xfId="0" applyFont="1" applyFill="1"/>
    <xf numFmtId="0" fontId="28" fillId="11" borderId="0" xfId="0" applyFont="1" applyFill="1"/>
    <xf numFmtId="0" fontId="28" fillId="0" borderId="0" xfId="0" applyFont="1" applyAlignment="1">
      <alignment wrapText="1"/>
    </xf>
    <xf numFmtId="0" fontId="21" fillId="12" borderId="0" xfId="0" applyFont="1" applyFill="1"/>
    <xf numFmtId="0" fontId="21" fillId="13" borderId="0" xfId="0" applyFont="1" applyFill="1"/>
    <xf numFmtId="0" fontId="52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41" fillId="12" borderId="1" xfId="0" applyFont="1" applyFill="1" applyBorder="1" applyAlignment="1">
      <alignment horizontal="left"/>
    </xf>
    <xf numFmtId="0" fontId="40" fillId="0" borderId="0" xfId="0" applyFont="1"/>
    <xf numFmtId="0" fontId="53" fillId="15" borderId="0" xfId="0" applyFont="1" applyFill="1"/>
    <xf numFmtId="0" fontId="35" fillId="20" borderId="0" xfId="0" applyFont="1" applyFill="1"/>
    <xf numFmtId="0" fontId="30" fillId="9" borderId="0" xfId="0" applyFont="1" applyFill="1"/>
    <xf numFmtId="0" fontId="11" fillId="8" borderId="0" xfId="0" applyFont="1" applyFill="1"/>
    <xf numFmtId="0" fontId="11" fillId="14" borderId="0" xfId="0" applyFont="1" applyFill="1"/>
    <xf numFmtId="0" fontId="11" fillId="11" borderId="0" xfId="0" applyFont="1" applyFill="1"/>
    <xf numFmtId="0" fontId="30" fillId="0" borderId="0" xfId="0" applyFont="1" applyAlignment="1">
      <alignment horizontal="left"/>
    </xf>
    <xf numFmtId="0" fontId="32" fillId="0" borderId="0" xfId="0" applyFont="1" applyAlignment="1">
      <alignment horizontal="left" indent="1"/>
    </xf>
    <xf numFmtId="0" fontId="40" fillId="0" borderId="0" xfId="0" applyFont="1" applyAlignment="1">
      <alignment horizontal="left" indent="1"/>
    </xf>
    <xf numFmtId="0" fontId="11" fillId="0" borderId="0" xfId="0" applyFont="1" applyAlignment="1">
      <alignment horizontal="left"/>
    </xf>
    <xf numFmtId="0" fontId="29" fillId="18" borderId="0" xfId="0" applyFont="1" applyFill="1" applyAlignment="1">
      <alignment horizontal="right" vertical="top" wrapText="1"/>
    </xf>
    <xf numFmtId="3" fontId="50" fillId="7" borderId="0" xfId="0" applyNumberFormat="1" applyFont="1" applyFill="1"/>
    <xf numFmtId="3" fontId="29" fillId="18" borderId="0" xfId="0" applyNumberFormat="1" applyFont="1" applyFill="1"/>
    <xf numFmtId="3" fontId="21" fillId="0" borderId="1" xfId="0" applyNumberFormat="1" applyFont="1" applyBorder="1"/>
    <xf numFmtId="3" fontId="29" fillId="0" borderId="0" xfId="0" applyNumberFormat="1" applyFont="1"/>
    <xf numFmtId="3" fontId="21" fillId="18" borderId="0" xfId="0" applyNumberFormat="1" applyFont="1" applyFill="1"/>
    <xf numFmtId="3" fontId="21" fillId="18" borderId="1" xfId="0" applyNumberFormat="1" applyFont="1" applyFill="1" applyBorder="1"/>
    <xf numFmtId="3" fontId="49" fillId="18" borderId="0" xfId="0" applyNumberFormat="1" applyFont="1" applyFill="1"/>
    <xf numFmtId="3" fontId="49" fillId="17" borderId="1" xfId="0" applyNumberFormat="1" applyFont="1" applyFill="1" applyBorder="1"/>
    <xf numFmtId="3" fontId="49" fillId="17" borderId="0" xfId="0" applyNumberFormat="1" applyFont="1" applyFill="1"/>
    <xf numFmtId="3" fontId="28" fillId="18" borderId="1" xfId="0" applyNumberFormat="1" applyFont="1" applyFill="1" applyBorder="1"/>
    <xf numFmtId="3" fontId="38" fillId="18" borderId="0" xfId="0" applyNumberFormat="1" applyFont="1" applyFill="1"/>
    <xf numFmtId="3" fontId="54" fillId="18" borderId="0" xfId="0" applyNumberFormat="1" applyFont="1" applyFill="1"/>
    <xf numFmtId="3" fontId="54" fillId="18" borderId="0" xfId="0" applyNumberFormat="1" applyFont="1" applyFill="1" applyAlignment="1">
      <alignment horizontal="right" vertical="center"/>
    </xf>
    <xf numFmtId="3" fontId="49" fillId="18" borderId="1" xfId="0" applyNumberFormat="1" applyFont="1" applyFill="1" applyBorder="1"/>
    <xf numFmtId="3" fontId="55" fillId="18" borderId="0" xfId="0" applyNumberFormat="1" applyFont="1" applyFill="1"/>
    <xf numFmtId="4" fontId="29" fillId="18" borderId="0" xfId="0" applyNumberFormat="1" applyFont="1" applyFill="1"/>
    <xf numFmtId="3" fontId="29" fillId="12" borderId="0" xfId="0" applyNumberFormat="1" applyFont="1" applyFill="1"/>
    <xf numFmtId="3" fontId="21" fillId="13" borderId="0" xfId="0" applyNumberFormat="1" applyFont="1" applyFill="1"/>
    <xf numFmtId="3" fontId="47" fillId="0" borderId="0" xfId="0" applyNumberFormat="1" applyFont="1"/>
    <xf numFmtId="3" fontId="28" fillId="18" borderId="0" xfId="0" applyNumberFormat="1" applyFont="1" applyFill="1"/>
    <xf numFmtId="3" fontId="47" fillId="0" borderId="2" xfId="0" applyNumberFormat="1" applyFont="1" applyBorder="1"/>
    <xf numFmtId="0" fontId="29" fillId="17" borderId="0" xfId="0" applyFont="1" applyFill="1" applyAlignment="1">
      <alignment horizontal="center" vertical="top" wrapText="1"/>
    </xf>
    <xf numFmtId="0" fontId="50" fillId="7" borderId="0" xfId="0" applyFont="1" applyFill="1"/>
    <xf numFmtId="3" fontId="29" fillId="17" borderId="0" xfId="0" applyNumberFormat="1" applyFont="1" applyFill="1"/>
    <xf numFmtId="3" fontId="29" fillId="19" borderId="0" xfId="0" applyNumberFormat="1" applyFont="1" applyFill="1"/>
    <xf numFmtId="3" fontId="21" fillId="17" borderId="0" xfId="0" applyNumberFormat="1" applyFont="1" applyFill="1"/>
    <xf numFmtId="3" fontId="21" fillId="17" borderId="1" xfId="0" applyNumberFormat="1" applyFont="1" applyFill="1" applyBorder="1"/>
    <xf numFmtId="3" fontId="21" fillId="19" borderId="0" xfId="0" applyNumberFormat="1" applyFont="1" applyFill="1"/>
    <xf numFmtId="3" fontId="21" fillId="19" borderId="1" xfId="0" applyNumberFormat="1" applyFont="1" applyFill="1" applyBorder="1"/>
    <xf numFmtId="3" fontId="28" fillId="17" borderId="1" xfId="0" applyNumberFormat="1" applyFont="1" applyFill="1" applyBorder="1"/>
    <xf numFmtId="3" fontId="56" fillId="17" borderId="0" xfId="0" applyNumberFormat="1" applyFont="1" applyFill="1"/>
    <xf numFmtId="3" fontId="45" fillId="0" borderId="0" xfId="0" applyNumberFormat="1" applyFont="1"/>
    <xf numFmtId="3" fontId="47" fillId="19" borderId="0" xfId="0" applyNumberFormat="1" applyFont="1" applyFill="1"/>
    <xf numFmtId="3" fontId="28" fillId="19" borderId="0" xfId="0" applyNumberFormat="1" applyFont="1" applyFill="1"/>
    <xf numFmtId="3" fontId="47" fillId="19" borderId="2" xfId="0" applyNumberFormat="1" applyFont="1" applyFill="1" applyBorder="1"/>
    <xf numFmtId="3" fontId="29" fillId="4" borderId="0" xfId="0" applyNumberFormat="1" applyFont="1" applyFill="1"/>
    <xf numFmtId="3" fontId="29" fillId="12" borderId="1" xfId="0" applyNumberFormat="1" applyFont="1" applyFill="1" applyBorder="1"/>
    <xf numFmtId="3" fontId="28" fillId="0" borderId="1" xfId="0" applyNumberFormat="1" applyFont="1" applyBorder="1"/>
    <xf numFmtId="0" fontId="29" fillId="19" borderId="0" xfId="0" applyFont="1" applyFill="1" applyAlignment="1">
      <alignment horizontal="center" vertical="top" wrapText="1"/>
    </xf>
    <xf numFmtId="3" fontId="28" fillId="19" borderId="1" xfId="0" applyNumberFormat="1" applyFont="1" applyFill="1" applyBorder="1"/>
    <xf numFmtId="3" fontId="56" fillId="19" borderId="0" xfId="0" applyNumberFormat="1" applyFont="1" applyFill="1"/>
    <xf numFmtId="0" fontId="50" fillId="7" borderId="14" xfId="0" applyFont="1" applyFill="1" applyBorder="1"/>
    <xf numFmtId="0" fontId="21" fillId="0" borderId="14" xfId="0" applyFont="1" applyBorder="1"/>
    <xf numFmtId="3" fontId="21" fillId="0" borderId="14" xfId="0" applyNumberFormat="1" applyFont="1" applyBorder="1"/>
    <xf numFmtId="3" fontId="29" fillId="0" borderId="14" xfId="0" applyNumberFormat="1" applyFont="1" applyBorder="1"/>
    <xf numFmtId="3" fontId="47" fillId="0" borderId="14" xfId="0" applyNumberFormat="1" applyFont="1" applyBorder="1"/>
    <xf numFmtId="3" fontId="29" fillId="12" borderId="14" xfId="0" applyNumberFormat="1" applyFont="1" applyFill="1" applyBorder="1"/>
    <xf numFmtId="3" fontId="21" fillId="13" borderId="14" xfId="0" applyNumberFormat="1" applyFont="1" applyFill="1" applyBorder="1"/>
    <xf numFmtId="3" fontId="47" fillId="0" borderId="13" xfId="0" applyNumberFormat="1" applyFont="1" applyBorder="1"/>
    <xf numFmtId="0" fontId="29" fillId="2" borderId="14" xfId="0" applyFont="1" applyFill="1" applyBorder="1" applyAlignment="1">
      <alignment horizontal="center" vertical="top" wrapText="1"/>
    </xf>
    <xf numFmtId="3" fontId="29" fillId="3" borderId="14" xfId="0" applyNumberFormat="1" applyFont="1" applyFill="1" applyBorder="1"/>
    <xf numFmtId="3" fontId="21" fillId="3" borderId="14" xfId="0" applyNumberFormat="1" applyFont="1" applyFill="1" applyBorder="1"/>
    <xf numFmtId="3" fontId="28" fillId="3" borderId="14" xfId="0" applyNumberFormat="1" applyFont="1" applyFill="1" applyBorder="1"/>
    <xf numFmtId="3" fontId="21" fillId="3" borderId="15" xfId="0" applyNumberFormat="1" applyFont="1" applyFill="1" applyBorder="1"/>
    <xf numFmtId="0" fontId="29" fillId="12" borderId="15" xfId="0" applyFont="1" applyFill="1" applyBorder="1"/>
    <xf numFmtId="3" fontId="28" fillId="3" borderId="15" xfId="0" applyNumberFormat="1" applyFont="1" applyFill="1" applyBorder="1"/>
    <xf numFmtId="3" fontId="47" fillId="3" borderId="14" xfId="0" applyNumberFormat="1" applyFont="1" applyFill="1" applyBorder="1"/>
    <xf numFmtId="3" fontId="49" fillId="0" borderId="14" xfId="0" applyNumberFormat="1" applyFont="1" applyBorder="1" applyAlignment="1">
      <alignment horizontal="right"/>
    </xf>
    <xf numFmtId="3" fontId="47" fillId="0" borderId="14" xfId="0" applyNumberFormat="1" applyFont="1" applyBorder="1" applyAlignment="1">
      <alignment vertical="center"/>
    </xf>
    <xf numFmtId="3" fontId="45" fillId="0" borderId="14" xfId="0" applyNumberFormat="1" applyFont="1" applyBorder="1"/>
    <xf numFmtId="0" fontId="21" fillId="12" borderId="1" xfId="0" applyFont="1" applyFill="1" applyBorder="1" applyAlignment="1">
      <alignment horizontal="left"/>
    </xf>
    <xf numFmtId="0" fontId="0" fillId="15" borderId="0" xfId="0" applyFill="1"/>
    <xf numFmtId="0" fontId="0" fillId="0" borderId="0" xfId="0" applyAlignment="1">
      <alignment horizontal="center"/>
    </xf>
    <xf numFmtId="3" fontId="0" fillId="0" borderId="0" xfId="0" applyNumberFormat="1" applyAlignment="1">
      <alignment vertical="center"/>
    </xf>
    <xf numFmtId="3" fontId="1" fillId="0" borderId="2" xfId="0" applyNumberFormat="1" applyFont="1" applyBorder="1"/>
    <xf numFmtId="0" fontId="0" fillId="0" borderId="0" xfId="0" quotePrefix="1"/>
    <xf numFmtId="3" fontId="24" fillId="0" borderId="0" xfId="0" applyNumberFormat="1" applyFont="1"/>
    <xf numFmtId="0" fontId="29" fillId="11" borderId="17" xfId="0" applyFont="1" applyFill="1" applyBorder="1" applyAlignment="1">
      <alignment horizontal="center" vertical="top" wrapText="1"/>
    </xf>
    <xf numFmtId="0" fontId="50" fillId="7" borderId="17" xfId="0" applyFont="1" applyFill="1" applyBorder="1"/>
    <xf numFmtId="3" fontId="29" fillId="11" borderId="17" xfId="0" applyNumberFormat="1" applyFont="1" applyFill="1" applyBorder="1"/>
    <xf numFmtId="3" fontId="21" fillId="0" borderId="17" xfId="0" applyNumberFormat="1" applyFont="1" applyBorder="1"/>
    <xf numFmtId="3" fontId="21" fillId="11" borderId="17" xfId="0" applyNumberFormat="1" applyFont="1" applyFill="1" applyBorder="1"/>
    <xf numFmtId="3" fontId="28" fillId="11" borderId="17" xfId="0" applyNumberFormat="1" applyFont="1" applyFill="1" applyBorder="1"/>
    <xf numFmtId="3" fontId="21" fillId="11" borderId="18" xfId="0" applyNumberFormat="1" applyFont="1" applyFill="1" applyBorder="1"/>
    <xf numFmtId="0" fontId="29" fillId="12" borderId="18" xfId="0" applyFont="1" applyFill="1" applyBorder="1"/>
    <xf numFmtId="3" fontId="29" fillId="0" borderId="17" xfId="0" applyNumberFormat="1" applyFont="1" applyBorder="1"/>
    <xf numFmtId="3" fontId="28" fillId="11" borderId="18" xfId="0" applyNumberFormat="1" applyFont="1" applyFill="1" applyBorder="1"/>
    <xf numFmtId="3" fontId="21" fillId="13" borderId="17" xfId="0" applyNumberFormat="1" applyFont="1" applyFill="1" applyBorder="1"/>
    <xf numFmtId="3" fontId="47" fillId="0" borderId="17" xfId="0" applyNumberFormat="1" applyFont="1" applyBorder="1" applyAlignment="1">
      <alignment vertical="center"/>
    </xf>
    <xf numFmtId="3" fontId="47" fillId="0" borderId="17" xfId="0" applyNumberFormat="1" applyFont="1" applyBorder="1"/>
    <xf numFmtId="3" fontId="47" fillId="0" borderId="16" xfId="0" applyNumberFormat="1" applyFont="1" applyBorder="1"/>
    <xf numFmtId="3" fontId="21" fillId="2" borderId="14" xfId="0" applyNumberFormat="1" applyFont="1" applyFill="1" applyBorder="1"/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right" vertical="center" wrapText="1"/>
    </xf>
    <xf numFmtId="0" fontId="58" fillId="22" borderId="0" xfId="0" applyFont="1" applyFill="1" applyAlignment="1">
      <alignment vertical="center"/>
    </xf>
    <xf numFmtId="0" fontId="4" fillId="22" borderId="0" xfId="0" applyFont="1" applyFill="1"/>
    <xf numFmtId="0" fontId="22" fillId="22" borderId="0" xfId="0" applyFont="1" applyFill="1"/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59" fillId="0" borderId="19" xfId="0" applyFont="1" applyBorder="1" applyAlignment="1">
      <alignment vertical="center"/>
    </xf>
    <xf numFmtId="0" fontId="2" fillId="0" borderId="19" xfId="0" applyFont="1" applyBorder="1"/>
    <xf numFmtId="0" fontId="0" fillId="0" borderId="19" xfId="0" applyBorder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36" fillId="0" borderId="0" xfId="0" applyNumberFormat="1" applyFont="1"/>
    <xf numFmtId="3" fontId="40" fillId="0" borderId="0" xfId="0" applyNumberFormat="1" applyFont="1"/>
    <xf numFmtId="3" fontId="2" fillId="0" borderId="0" xfId="0" applyNumberFormat="1" applyFont="1" applyAlignment="1">
      <alignment vertical="center"/>
    </xf>
    <xf numFmtId="0" fontId="60" fillId="0" borderId="0" xfId="0" applyFont="1"/>
    <xf numFmtId="3" fontId="59" fillId="0" borderId="19" xfId="0" applyNumberFormat="1" applyFont="1" applyBorder="1"/>
    <xf numFmtId="0" fontId="59" fillId="0" borderId="0" xfId="0" applyFont="1" applyAlignment="1">
      <alignment vertical="center"/>
    </xf>
    <xf numFmtId="3" fontId="59" fillId="0" borderId="0" xfId="0" applyNumberFormat="1" applyFont="1"/>
    <xf numFmtId="0" fontId="39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/>
    </xf>
    <xf numFmtId="3" fontId="39" fillId="0" borderId="1" xfId="0" applyNumberFormat="1" applyFont="1" applyBorder="1"/>
    <xf numFmtId="0" fontId="39" fillId="0" borderId="0" xfId="0" applyFont="1" applyAlignment="1">
      <alignment vertical="center"/>
    </xf>
    <xf numFmtId="3" fontId="39" fillId="0" borderId="0" xfId="0" applyNumberFormat="1" applyFont="1"/>
    <xf numFmtId="0" fontId="10" fillId="0" borderId="0" xfId="0" applyFont="1" applyAlignment="1">
      <alignment horizontal="right"/>
    </xf>
    <xf numFmtId="0" fontId="10" fillId="0" borderId="1" xfId="0" applyFont="1" applyBorder="1"/>
    <xf numFmtId="3" fontId="10" fillId="0" borderId="0" xfId="0" applyNumberFormat="1" applyFont="1"/>
    <xf numFmtId="0" fontId="36" fillId="0" borderId="0" xfId="0" applyFont="1" applyAlignment="1">
      <alignment vertical="center"/>
    </xf>
    <xf numFmtId="0" fontId="10" fillId="0" borderId="19" xfId="0" applyFont="1" applyBorder="1"/>
    <xf numFmtId="0" fontId="10" fillId="0" borderId="19" xfId="0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3" fontId="8" fillId="0" borderId="2" xfId="0" applyNumberFormat="1" applyFont="1" applyBorder="1"/>
    <xf numFmtId="3" fontId="8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61" fillId="9" borderId="0" xfId="0" applyFont="1" applyFill="1" applyAlignment="1">
      <alignment horizontal="right" vertical="top" wrapText="1"/>
    </xf>
    <xf numFmtId="0" fontId="29" fillId="5" borderId="0" xfId="0" applyFont="1" applyFill="1" applyAlignment="1">
      <alignment horizontal="right" vertical="top" wrapText="1"/>
    </xf>
    <xf numFmtId="3" fontId="21" fillId="0" borderId="15" xfId="0" applyNumberFormat="1" applyFont="1" applyBorder="1"/>
    <xf numFmtId="3" fontId="29" fillId="4" borderId="14" xfId="0" applyNumberFormat="1" applyFont="1" applyFill="1" applyBorder="1"/>
    <xf numFmtId="3" fontId="28" fillId="0" borderId="14" xfId="0" applyNumberFormat="1" applyFont="1" applyBorder="1"/>
    <xf numFmtId="3" fontId="24" fillId="0" borderId="14" xfId="0" applyNumberFormat="1" applyFont="1" applyBorder="1"/>
    <xf numFmtId="3" fontId="21" fillId="0" borderId="18" xfId="0" applyNumberFormat="1" applyFont="1" applyBorder="1"/>
    <xf numFmtId="3" fontId="21" fillId="2" borderId="15" xfId="0" applyNumberFormat="1" applyFont="1" applyFill="1" applyBorder="1"/>
    <xf numFmtId="3" fontId="21" fillId="3" borderId="0" xfId="0" applyNumberFormat="1" applyFont="1" applyFill="1"/>
    <xf numFmtId="3" fontId="21" fillId="0" borderId="0" xfId="0" applyNumberFormat="1" applyFont="1" applyAlignment="1">
      <alignment vertical="top" wrapText="1"/>
    </xf>
    <xf numFmtId="3" fontId="2" fillId="0" borderId="14" xfId="0" applyNumberFormat="1" applyFont="1" applyBorder="1"/>
    <xf numFmtId="3" fontId="2" fillId="0" borderId="15" xfId="0" applyNumberFormat="1" applyFont="1" applyBorder="1"/>
    <xf numFmtId="0" fontId="29" fillId="20" borderId="0" xfId="0" applyFont="1" applyFill="1" applyAlignment="1">
      <alignment horizontal="right" vertical="top" wrapText="1"/>
    </xf>
    <xf numFmtId="3" fontId="21" fillId="20" borderId="15" xfId="0" applyNumberFormat="1" applyFont="1" applyFill="1" applyBorder="1"/>
    <xf numFmtId="3" fontId="21" fillId="23" borderId="15" xfId="0" applyNumberFormat="1" applyFont="1" applyFill="1" applyBorder="1"/>
    <xf numFmtId="3" fontId="28" fillId="0" borderId="15" xfId="0" applyNumberFormat="1" applyFont="1" applyBorder="1"/>
    <xf numFmtId="0" fontId="49" fillId="0" borderId="0" xfId="0" applyFont="1" applyAlignment="1">
      <alignment horizontal="center"/>
    </xf>
    <xf numFmtId="3" fontId="29" fillId="0" borderId="20" xfId="0" applyNumberFormat="1" applyFont="1" applyBorder="1"/>
    <xf numFmtId="3" fontId="21" fillId="11" borderId="1" xfId="0" applyNumberFormat="1" applyFont="1" applyFill="1" applyBorder="1"/>
    <xf numFmtId="3" fontId="21" fillId="11" borderId="0" xfId="0" applyNumberFormat="1" applyFont="1" applyFill="1"/>
    <xf numFmtId="0" fontId="11" fillId="24" borderId="0" xfId="0" applyFont="1" applyFill="1"/>
    <xf numFmtId="0" fontId="63" fillId="20" borderId="3" xfId="0" applyFont="1" applyFill="1" applyBorder="1"/>
    <xf numFmtId="0" fontId="51" fillId="3" borderId="0" xfId="0" applyFont="1" applyFill="1"/>
    <xf numFmtId="0" fontId="21" fillId="0" borderId="0" xfId="0" quotePrefix="1" applyFont="1" applyAlignment="1">
      <alignment horizontal="right" wrapText="1"/>
    </xf>
    <xf numFmtId="0" fontId="2" fillId="0" borderId="0" xfId="0" quotePrefix="1" applyFont="1" applyAlignment="1">
      <alignment horizontal="right"/>
    </xf>
    <xf numFmtId="3" fontId="7" fillId="20" borderId="5" xfId="0" applyNumberFormat="1" applyFont="1" applyFill="1" applyBorder="1"/>
    <xf numFmtId="0" fontId="30" fillId="6" borderId="0" xfId="0" applyFont="1" applyFill="1"/>
    <xf numFmtId="3" fontId="21" fillId="26" borderId="14" xfId="0" applyNumberFormat="1" applyFont="1" applyFill="1" applyBorder="1"/>
    <xf numFmtId="3" fontId="21" fillId="27" borderId="14" xfId="0" applyNumberFormat="1" applyFont="1" applyFill="1" applyBorder="1"/>
    <xf numFmtId="3" fontId="28" fillId="27" borderId="14" xfId="0" applyNumberFormat="1" applyFont="1" applyFill="1" applyBorder="1"/>
    <xf numFmtId="3" fontId="21" fillId="27" borderId="0" xfId="0" applyNumberFormat="1" applyFont="1" applyFill="1"/>
    <xf numFmtId="3" fontId="21" fillId="25" borderId="0" xfId="0" applyNumberFormat="1" applyFont="1" applyFill="1"/>
    <xf numFmtId="0" fontId="61" fillId="0" borderId="0" xfId="0" applyFont="1"/>
    <xf numFmtId="0" fontId="11" fillId="28" borderId="0" xfId="0" applyFont="1" applyFill="1"/>
    <xf numFmtId="0" fontId="30" fillId="28" borderId="0" xfId="0" applyFont="1" applyFill="1" applyAlignment="1">
      <alignment horizontal="left"/>
    </xf>
    <xf numFmtId="3" fontId="10" fillId="0" borderId="1" xfId="0" applyNumberFormat="1" applyFont="1" applyBorder="1"/>
    <xf numFmtId="0" fontId="29" fillId="0" borderId="14" xfId="0" applyFont="1" applyBorder="1"/>
    <xf numFmtId="3" fontId="62" fillId="0" borderId="14" xfId="0" applyNumberFormat="1" applyFont="1" applyBorder="1"/>
    <xf numFmtId="3" fontId="49" fillId="0" borderId="14" xfId="0" applyNumberFormat="1" applyFont="1" applyBorder="1"/>
    <xf numFmtId="0" fontId="49" fillId="0" borderId="0" xfId="0" applyFont="1" applyAlignment="1">
      <alignment horizontal="left"/>
    </xf>
    <xf numFmtId="0" fontId="30" fillId="16" borderId="0" xfId="0" applyFont="1" applyFill="1"/>
    <xf numFmtId="0" fontId="65" fillId="3" borderId="0" xfId="0" applyFont="1" applyFill="1"/>
    <xf numFmtId="0" fontId="4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45" fillId="0" borderId="0" xfId="0" applyNumberFormat="1" applyFont="1" applyAlignment="1">
      <alignment horizontal="right"/>
    </xf>
    <xf numFmtId="3" fontId="21" fillId="0" borderId="21" xfId="0" applyNumberFormat="1" applyFont="1" applyBorder="1"/>
    <xf numFmtId="0" fontId="11" fillId="28" borderId="0" xfId="0" applyFont="1" applyFill="1" applyAlignment="1">
      <alignment horizontal="left"/>
    </xf>
    <xf numFmtId="3" fontId="28" fillId="0" borderId="21" xfId="0" applyNumberFormat="1" applyFont="1" applyBorder="1"/>
    <xf numFmtId="0" fontId="66" fillId="3" borderId="0" xfId="0" applyFont="1" applyFill="1" applyAlignment="1">
      <alignment horizontal="right"/>
    </xf>
    <xf numFmtId="165" fontId="21" fillId="4" borderId="0" xfId="0" applyNumberFormat="1" applyFont="1" applyFill="1"/>
    <xf numFmtId="165" fontId="21" fillId="0" borderId="0" xfId="0" applyNumberFormat="1" applyFont="1"/>
    <xf numFmtId="165" fontId="21" fillId="5" borderId="0" xfId="0" applyNumberFormat="1" applyFont="1" applyFill="1"/>
    <xf numFmtId="165" fontId="21" fillId="3" borderId="0" xfId="0" applyNumberFormat="1" applyFont="1" applyFill="1"/>
    <xf numFmtId="165" fontId="28" fillId="6" borderId="0" xfId="0" applyNumberFormat="1" applyFont="1" applyFill="1"/>
    <xf numFmtId="165" fontId="28" fillId="9" borderId="0" xfId="0" applyNumberFormat="1" applyFont="1" applyFill="1"/>
    <xf numFmtId="165" fontId="28" fillId="10" borderId="0" xfId="0" applyNumberFormat="1" applyFont="1" applyFill="1"/>
    <xf numFmtId="165" fontId="28" fillId="16" borderId="0" xfId="0" applyNumberFormat="1" applyFont="1" applyFill="1"/>
    <xf numFmtId="165" fontId="28" fillId="28" borderId="0" xfId="0" applyNumberFormat="1" applyFont="1" applyFill="1"/>
    <xf numFmtId="0" fontId="49" fillId="0" borderId="0" xfId="0" applyFont="1" applyAlignment="1">
      <alignment horizontal="right" vertical="top" wrapText="1"/>
    </xf>
    <xf numFmtId="0" fontId="21" fillId="0" borderId="0" xfId="0" applyFont="1" applyAlignment="1">
      <alignment horizontal="right" wrapText="1"/>
    </xf>
    <xf numFmtId="165" fontId="28" fillId="12" borderId="0" xfId="0" applyNumberFormat="1" applyFont="1" applyFill="1"/>
    <xf numFmtId="0" fontId="67" fillId="3" borderId="0" xfId="0" applyFont="1" applyFill="1" applyAlignment="1">
      <alignment horizontal="right"/>
    </xf>
    <xf numFmtId="166" fontId="21" fillId="0" borderId="0" xfId="0" applyNumberFormat="1" applyFont="1"/>
    <xf numFmtId="0" fontId="49" fillId="0" borderId="0" xfId="0" applyFont="1" applyAlignment="1">
      <alignment horizontal="right"/>
    </xf>
    <xf numFmtId="3" fontId="49" fillId="0" borderId="0" xfId="0" applyNumberFormat="1" applyFont="1"/>
    <xf numFmtId="0" fontId="4" fillId="0" borderId="0" xfId="0" applyFont="1" applyAlignment="1">
      <alignment horizontal="left"/>
    </xf>
    <xf numFmtId="0" fontId="10" fillId="0" borderId="0" xfId="0" applyFont="1" applyAlignment="1">
      <alignment horizontal="right" vertical="center"/>
    </xf>
    <xf numFmtId="0" fontId="69" fillId="0" borderId="0" xfId="1" applyFont="1"/>
    <xf numFmtId="3" fontId="60" fillId="0" borderId="0" xfId="0" applyNumberFormat="1" applyFont="1"/>
    <xf numFmtId="3" fontId="32" fillId="0" borderId="0" xfId="0" applyNumberFormat="1" applyFont="1" applyAlignment="1">
      <alignment vertical="center"/>
    </xf>
    <xf numFmtId="3" fontId="24" fillId="0" borderId="1" xfId="0" applyNumberFormat="1" applyFont="1" applyBorder="1"/>
    <xf numFmtId="167" fontId="49" fillId="0" borderId="0" xfId="0" applyNumberFormat="1" applyFont="1"/>
    <xf numFmtId="167" fontId="38" fillId="0" borderId="0" xfId="0" applyNumberFormat="1" applyFont="1"/>
    <xf numFmtId="3" fontId="60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" fillId="0" borderId="0" xfId="0" applyFont="1"/>
    <xf numFmtId="0" fontId="70" fillId="29" borderId="14" xfId="0" applyFont="1" applyFill="1" applyBorder="1" applyAlignment="1">
      <alignment horizontal="right" vertical="top" wrapText="1"/>
    </xf>
    <xf numFmtId="3" fontId="35" fillId="0" borderId="0" xfId="0" applyNumberFormat="1" applyFont="1"/>
    <xf numFmtId="3" fontId="32" fillId="0" borderId="0" xfId="0" applyNumberFormat="1" applyFont="1"/>
    <xf numFmtId="0" fontId="71" fillId="20" borderId="0" xfId="0" applyFont="1" applyFill="1" applyAlignment="1">
      <alignment horizontal="center"/>
    </xf>
    <xf numFmtId="0" fontId="61" fillId="8" borderId="0" xfId="0" applyFont="1" applyFill="1" applyAlignment="1">
      <alignment horizontal="right" vertical="top" wrapText="1"/>
    </xf>
    <xf numFmtId="0" fontId="61" fillId="5" borderId="0" xfId="0" applyFont="1" applyFill="1" applyAlignment="1">
      <alignment horizontal="right" vertical="top" wrapText="1"/>
    </xf>
    <xf numFmtId="3" fontId="28" fillId="11" borderId="0" xfId="0" applyNumberFormat="1" applyFont="1" applyFill="1"/>
    <xf numFmtId="0" fontId="72" fillId="0" borderId="0" xfId="1" applyFont="1"/>
    <xf numFmtId="0" fontId="38" fillId="0" borderId="0" xfId="0" applyFont="1" applyAlignment="1">
      <alignment wrapText="1"/>
    </xf>
    <xf numFmtId="0" fontId="21" fillId="0" borderId="0" xfId="0" applyFont="1" applyAlignment="1">
      <alignment horizontal="center"/>
    </xf>
    <xf numFmtId="3" fontId="73" fillId="0" borderId="0" xfId="1" applyNumberFormat="1" applyFont="1"/>
    <xf numFmtId="0" fontId="73" fillId="0" borderId="0" xfId="1" applyFont="1" applyAlignment="1">
      <alignment wrapText="1"/>
    </xf>
    <xf numFmtId="0" fontId="21" fillId="2" borderId="0" xfId="0" applyFont="1" applyFill="1" applyAlignment="1">
      <alignment horizontal="right"/>
    </xf>
    <xf numFmtId="0" fontId="32" fillId="2" borderId="0" xfId="0" applyFont="1" applyFill="1" applyAlignment="1">
      <alignment horizontal="left"/>
    </xf>
    <xf numFmtId="3" fontId="21" fillId="23" borderId="14" xfId="0" applyNumberFormat="1" applyFont="1" applyFill="1" applyBorder="1"/>
    <xf numFmtId="3" fontId="21" fillId="23" borderId="0" xfId="0" applyNumberFormat="1" applyFont="1" applyFill="1"/>
    <xf numFmtId="0" fontId="28" fillId="0" borderId="0" xfId="0" applyFont="1" applyAlignment="1">
      <alignment horizontal="center" wrapText="1"/>
    </xf>
    <xf numFmtId="3" fontId="28" fillId="23" borderId="15" xfId="0" applyNumberFormat="1" applyFont="1" applyFill="1" applyBorder="1"/>
    <xf numFmtId="0" fontId="49" fillId="0" borderId="0" xfId="0" applyFont="1" applyAlignment="1">
      <alignment wrapText="1"/>
    </xf>
    <xf numFmtId="0" fontId="0" fillId="0" borderId="0" xfId="0" applyAlignment="1">
      <alignment horizontal="left"/>
    </xf>
    <xf numFmtId="0" fontId="21" fillId="0" borderId="0" xfId="0" quotePrefix="1" applyFont="1"/>
    <xf numFmtId="0" fontId="0" fillId="0" borderId="1" xfId="0" applyBorder="1"/>
    <xf numFmtId="0" fontId="1" fillId="0" borderId="1" xfId="0" applyFont="1" applyBorder="1"/>
    <xf numFmtId="0" fontId="0" fillId="15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31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32" borderId="0" xfId="0" applyFill="1" applyAlignment="1">
      <alignment horizontal="center"/>
    </xf>
    <xf numFmtId="0" fontId="0" fillId="33" borderId="0" xfId="0" applyFill="1"/>
    <xf numFmtId="0" fontId="0" fillId="34" borderId="0" xfId="0" applyFill="1"/>
    <xf numFmtId="0" fontId="0" fillId="0" borderId="0" xfId="0" applyAlignment="1">
      <alignment vertical="center"/>
    </xf>
    <xf numFmtId="0" fontId="0" fillId="35" borderId="0" xfId="0" applyFill="1"/>
    <xf numFmtId="3" fontId="0" fillId="34" borderId="0" xfId="0" applyNumberFormat="1" applyFill="1"/>
    <xf numFmtId="0" fontId="0" fillId="36" borderId="0" xfId="0" applyFill="1"/>
    <xf numFmtId="3" fontId="0" fillId="37" borderId="0" xfId="0" applyNumberFormat="1" applyFill="1"/>
    <xf numFmtId="0" fontId="0" fillId="0" borderId="0" xfId="0" quotePrefix="1" applyAlignment="1">
      <alignment horizontal="left"/>
    </xf>
    <xf numFmtId="3" fontId="0" fillId="37" borderId="0" xfId="0" quotePrefix="1" applyNumberFormat="1" applyFill="1" applyAlignment="1">
      <alignment horizontal="right"/>
    </xf>
    <xf numFmtId="1" fontId="0" fillId="0" borderId="0" xfId="0" applyNumberFormat="1"/>
    <xf numFmtId="3" fontId="29" fillId="0" borderId="7" xfId="0" applyNumberFormat="1" applyFont="1" applyBorder="1"/>
    <xf numFmtId="3" fontId="28" fillId="27" borderId="0" xfId="0" applyNumberFormat="1" applyFont="1" applyFill="1"/>
    <xf numFmtId="3" fontId="21" fillId="23" borderId="1" xfId="0" applyNumberFormat="1" applyFont="1" applyFill="1" applyBorder="1"/>
    <xf numFmtId="3" fontId="21" fillId="26" borderId="0" xfId="0" applyNumberFormat="1" applyFont="1" applyFill="1"/>
    <xf numFmtId="3" fontId="21" fillId="20" borderId="1" xfId="0" applyNumberFormat="1" applyFont="1" applyFill="1" applyBorder="1"/>
    <xf numFmtId="3" fontId="45" fillId="0" borderId="1" xfId="0" applyNumberFormat="1" applyFont="1" applyBorder="1" applyAlignment="1">
      <alignment horizontal="center"/>
    </xf>
    <xf numFmtId="3" fontId="28" fillId="23" borderId="1" xfId="0" applyNumberFormat="1" applyFont="1" applyFill="1" applyBorder="1"/>
    <xf numFmtId="3" fontId="49" fillId="0" borderId="21" xfId="0" applyNumberFormat="1" applyFont="1" applyBorder="1"/>
    <xf numFmtId="3" fontId="29" fillId="4" borderId="21" xfId="0" applyNumberFormat="1" applyFont="1" applyFill="1" applyBorder="1"/>
    <xf numFmtId="0" fontId="21" fillId="0" borderId="21" xfId="0" applyFont="1" applyBorder="1"/>
    <xf numFmtId="3" fontId="29" fillId="0" borderId="21" xfId="0" applyNumberFormat="1" applyFont="1" applyBorder="1"/>
    <xf numFmtId="3" fontId="21" fillId="0" borderId="23" xfId="0" applyNumberFormat="1" applyFont="1" applyBorder="1"/>
    <xf numFmtId="3" fontId="21" fillId="30" borderId="21" xfId="0" applyNumberFormat="1" applyFont="1" applyFill="1" applyBorder="1"/>
    <xf numFmtId="0" fontId="29" fillId="12" borderId="23" xfId="0" applyFont="1" applyFill="1" applyBorder="1"/>
    <xf numFmtId="0" fontId="29" fillId="0" borderId="21" xfId="0" applyFont="1" applyBorder="1"/>
    <xf numFmtId="3" fontId="45" fillId="0" borderId="21" xfId="0" applyNumberFormat="1" applyFont="1" applyBorder="1"/>
    <xf numFmtId="3" fontId="62" fillId="0" borderId="21" xfId="0" applyNumberFormat="1" applyFont="1" applyBorder="1"/>
    <xf numFmtId="3" fontId="28" fillId="0" borderId="23" xfId="0" applyNumberFormat="1" applyFont="1" applyBorder="1"/>
    <xf numFmtId="3" fontId="29" fillId="0" borderId="24" xfId="0" applyNumberFormat="1" applyFont="1" applyBorder="1"/>
    <xf numFmtId="3" fontId="28" fillId="27" borderId="21" xfId="0" applyNumberFormat="1" applyFont="1" applyFill="1" applyBorder="1"/>
    <xf numFmtId="3" fontId="28" fillId="23" borderId="23" xfId="0" applyNumberFormat="1" applyFont="1" applyFill="1" applyBorder="1"/>
    <xf numFmtId="3" fontId="21" fillId="27" borderId="21" xfId="0" applyNumberFormat="1" applyFont="1" applyFill="1" applyBorder="1"/>
    <xf numFmtId="3" fontId="21" fillId="23" borderId="23" xfId="0" applyNumberFormat="1" applyFont="1" applyFill="1" applyBorder="1"/>
    <xf numFmtId="3" fontId="21" fillId="26" borderId="21" xfId="0" applyNumberFormat="1" applyFont="1" applyFill="1" applyBorder="1"/>
    <xf numFmtId="3" fontId="21" fillId="23" borderId="21" xfId="0" applyNumberFormat="1" applyFont="1" applyFill="1" applyBorder="1"/>
    <xf numFmtId="3" fontId="47" fillId="0" borderId="21" xfId="0" applyNumberFormat="1" applyFont="1" applyBorder="1"/>
    <xf numFmtId="3" fontId="28" fillId="0" borderId="23" xfId="0" applyNumberFormat="1" applyFont="1" applyBorder="1" applyAlignment="1">
      <alignment horizontal="right"/>
    </xf>
    <xf numFmtId="165" fontId="38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top"/>
    </xf>
    <xf numFmtId="3" fontId="1" fillId="35" borderId="0" xfId="0" applyNumberFormat="1" applyFont="1" applyFill="1"/>
    <xf numFmtId="3" fontId="1" fillId="33" borderId="0" xfId="0" applyNumberFormat="1" applyFont="1" applyFill="1"/>
    <xf numFmtId="3" fontId="1" fillId="36" borderId="1" xfId="0" applyNumberFormat="1" applyFont="1" applyFill="1" applyBorder="1"/>
    <xf numFmtId="3" fontId="47" fillId="0" borderId="7" xfId="0" applyNumberFormat="1" applyFont="1" applyBorder="1"/>
    <xf numFmtId="3" fontId="28" fillId="0" borderId="18" xfId="0" applyNumberFormat="1" applyFont="1" applyBorder="1"/>
    <xf numFmtId="3" fontId="29" fillId="4" borderId="17" xfId="0" applyNumberFormat="1" applyFont="1" applyFill="1" applyBorder="1"/>
    <xf numFmtId="3" fontId="28" fillId="23" borderId="18" xfId="0" applyNumberFormat="1" applyFont="1" applyFill="1" applyBorder="1"/>
    <xf numFmtId="3" fontId="28" fillId="0" borderId="17" xfId="0" applyNumberFormat="1" applyFont="1" applyBorder="1"/>
    <xf numFmtId="3" fontId="21" fillId="20" borderId="14" xfId="0" applyNumberFormat="1" applyFont="1" applyFill="1" applyBorder="1"/>
    <xf numFmtId="165" fontId="76" fillId="15" borderId="0" xfId="0" applyNumberFormat="1" applyFont="1" applyFill="1"/>
    <xf numFmtId="165" fontId="77" fillId="0" borderId="0" xfId="0" applyNumberFormat="1" applyFont="1"/>
    <xf numFmtId="0" fontId="77" fillId="0" borderId="0" xfId="0" applyFont="1"/>
    <xf numFmtId="0" fontId="77" fillId="0" borderId="0" xfId="0" applyFont="1" applyAlignment="1">
      <alignment horizontal="right"/>
    </xf>
    <xf numFmtId="3" fontId="77" fillId="0" borderId="0" xfId="0" applyNumberFormat="1" applyFont="1"/>
    <xf numFmtId="3" fontId="77" fillId="0" borderId="0" xfId="0" applyNumberFormat="1" applyFont="1" applyAlignment="1">
      <alignment horizontal="right"/>
    </xf>
    <xf numFmtId="0" fontId="78" fillId="38" borderId="0" xfId="0" applyFont="1" applyFill="1" applyAlignment="1">
      <alignment horizontal="center" vertical="center"/>
    </xf>
    <xf numFmtId="165" fontId="28" fillId="0" borderId="0" xfId="0" applyNumberFormat="1" applyFont="1"/>
    <xf numFmtId="165" fontId="81" fillId="0" borderId="0" xfId="0" applyNumberFormat="1" applyFont="1"/>
    <xf numFmtId="3" fontId="28" fillId="20" borderId="14" xfId="0" applyNumberFormat="1" applyFont="1" applyFill="1" applyBorder="1"/>
    <xf numFmtId="0" fontId="80" fillId="0" borderId="0" xfId="0" applyFont="1" applyAlignment="1">
      <alignment horizontal="right"/>
    </xf>
    <xf numFmtId="0" fontId="79" fillId="0" borderId="0" xfId="0" applyFont="1"/>
    <xf numFmtId="0" fontId="31" fillId="18" borderId="0" xfId="0" applyFont="1" applyFill="1"/>
    <xf numFmtId="165" fontId="75" fillId="18" borderId="0" xfId="0" applyNumberFormat="1" applyFont="1" applyFill="1"/>
    <xf numFmtId="0" fontId="75" fillId="18" borderId="0" xfId="0" applyFont="1" applyFill="1" applyAlignment="1">
      <alignment horizontal="center" vertical="center"/>
    </xf>
    <xf numFmtId="0" fontId="38" fillId="0" borderId="0" xfId="0" applyFont="1" applyAlignment="1">
      <alignment horizontal="center" wrapText="1"/>
    </xf>
    <xf numFmtId="0" fontId="70" fillId="16" borderId="14" xfId="0" applyFont="1" applyFill="1" applyBorder="1" applyAlignment="1">
      <alignment horizontal="right" vertical="top" wrapText="1"/>
    </xf>
    <xf numFmtId="0" fontId="82" fillId="6" borderId="14" xfId="0" applyFont="1" applyFill="1" applyBorder="1" applyAlignment="1">
      <alignment horizontal="right" vertical="top" wrapText="1"/>
    </xf>
    <xf numFmtId="0" fontId="83" fillId="3" borderId="14" xfId="0" applyFont="1" applyFill="1" applyBorder="1" applyAlignment="1">
      <alignment horizontal="right" vertical="top" wrapText="1"/>
    </xf>
    <xf numFmtId="0" fontId="84" fillId="9" borderId="0" xfId="0" applyFont="1" applyFill="1" applyAlignment="1">
      <alignment horizontal="right" vertical="top" wrapText="1"/>
    </xf>
    <xf numFmtId="3" fontId="28" fillId="0" borderId="21" xfId="0" applyNumberFormat="1" applyFont="1" applyFill="1" applyBorder="1"/>
    <xf numFmtId="3" fontId="28" fillId="0" borderId="23" xfId="0" applyNumberFormat="1" applyFont="1" applyFill="1" applyBorder="1"/>
    <xf numFmtId="3" fontId="49" fillId="0" borderId="14" xfId="0" applyNumberFormat="1" applyFont="1" applyFill="1" applyBorder="1"/>
    <xf numFmtId="0" fontId="29" fillId="0" borderId="0" xfId="0" applyFont="1" applyFill="1" applyAlignment="1">
      <alignment horizontal="right"/>
    </xf>
    <xf numFmtId="0" fontId="49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3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32" borderId="0" xfId="0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31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3" fontId="21" fillId="0" borderId="3" xfId="0" applyNumberFormat="1" applyFont="1" applyBorder="1" applyAlignment="1">
      <alignment horizontal="left" vertical="top" wrapText="1"/>
    </xf>
    <xf numFmtId="3" fontId="21" fillId="0" borderId="4" xfId="0" applyNumberFormat="1" applyFont="1" applyBorder="1" applyAlignment="1">
      <alignment horizontal="left" vertical="top" wrapText="1"/>
    </xf>
    <xf numFmtId="3" fontId="21" fillId="0" borderId="5" xfId="0" applyNumberFormat="1" applyFont="1" applyBorder="1" applyAlignment="1">
      <alignment horizontal="left" vertical="top" wrapText="1"/>
    </xf>
  </cellXfs>
  <cellStyles count="2">
    <cellStyle name="Link" xfId="1" builtinId="8"/>
    <cellStyle name="Normal" xfId="0" builtinId="0"/>
  </cellStyles>
  <dxfs count="72"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66FF"/>
      <color rgb="FF00FF00"/>
      <color rgb="FF66FF33"/>
      <color rgb="FFFF00FF"/>
      <color rgb="FFE92903"/>
      <color rgb="FFFFFF66"/>
      <color rgb="FF99FF66"/>
      <color rgb="FFFF9933"/>
      <color rgb="FFFF33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tabColor rgb="FF00FF00"/>
    <outlinePr summaryBelow="0"/>
  </sheetPr>
  <dimension ref="A1:AA381"/>
  <sheetViews>
    <sheetView tabSelected="1" topLeftCell="C1" zoomScale="120" zoomScaleNormal="120" workbookViewId="0">
      <pane ySplit="1" topLeftCell="A289" activePane="bottomLeft" state="frozen"/>
      <selection pane="bottomLeft" activeCell="P361" sqref="P361"/>
    </sheetView>
  </sheetViews>
  <sheetFormatPr defaultColWidth="9.28515625" defaultRowHeight="12.75" outlineLevelRow="4"/>
  <cols>
    <col min="1" max="1" width="7.28515625" style="26" hidden="1" customWidth="1"/>
    <col min="2" max="2" width="6.7109375" style="6" hidden="1" customWidth="1"/>
    <col min="3" max="3" width="5.7109375" style="90" customWidth="1"/>
    <col min="4" max="4" width="33.7109375" style="11" customWidth="1"/>
    <col min="5" max="5" width="16.7109375" style="26" customWidth="1"/>
    <col min="6" max="8" width="7.7109375" style="26" hidden="1" customWidth="1"/>
    <col min="9" max="11" width="7.7109375" style="3" hidden="1" customWidth="1"/>
    <col min="12" max="12" width="9.7109375" style="3" customWidth="1"/>
    <col min="13" max="14" width="9.7109375" style="3" hidden="1" customWidth="1"/>
    <col min="15" max="18" width="9.7109375" style="3" customWidth="1"/>
    <col min="19" max="19" width="22.7109375" style="3" customWidth="1"/>
    <col min="20" max="20" width="16.7109375" style="3" hidden="1" customWidth="1"/>
    <col min="21" max="21" width="18.5703125" style="3" hidden="1" customWidth="1"/>
    <col min="22" max="22" width="0" style="3" hidden="1" customWidth="1"/>
    <col min="23" max="16384" width="9.28515625" style="3"/>
  </cols>
  <sheetData>
    <row r="1" spans="1:20" s="2" customFormat="1" ht="34.5" customHeight="1">
      <c r="A1" s="41" t="s">
        <v>161</v>
      </c>
      <c r="B1" s="64" t="s">
        <v>198</v>
      </c>
      <c r="C1" s="109" t="s">
        <v>43</v>
      </c>
      <c r="D1" s="437" t="s">
        <v>44</v>
      </c>
      <c r="E1" s="353"/>
      <c r="F1" s="225" t="s">
        <v>195</v>
      </c>
      <c r="G1" s="243" t="s">
        <v>399</v>
      </c>
      <c r="H1" s="374" t="s">
        <v>398</v>
      </c>
      <c r="I1" s="375" t="s">
        <v>514</v>
      </c>
      <c r="J1" s="306" t="s">
        <v>402</v>
      </c>
      <c r="K1" s="294" t="s">
        <v>401</v>
      </c>
      <c r="L1" s="465" t="s">
        <v>403</v>
      </c>
      <c r="M1" s="295" t="s">
        <v>599</v>
      </c>
      <c r="N1" s="306" t="s">
        <v>493</v>
      </c>
      <c r="O1" s="466" t="s">
        <v>519</v>
      </c>
      <c r="P1" s="464" t="s">
        <v>575</v>
      </c>
      <c r="Q1" s="370" t="s">
        <v>455</v>
      </c>
      <c r="R1" s="463" t="s">
        <v>452</v>
      </c>
      <c r="S1" s="352"/>
    </row>
    <row r="2" spans="1:20" ht="14.1" customHeight="1">
      <c r="B2" s="33"/>
      <c r="D2" s="89" t="s">
        <v>134</v>
      </c>
      <c r="E2" s="89"/>
      <c r="F2" s="217"/>
      <c r="G2" s="244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</row>
    <row r="3" spans="1:20" collapsed="1">
      <c r="A3" s="26" t="s">
        <v>0</v>
      </c>
      <c r="B3" s="33"/>
      <c r="C3" s="42">
        <v>100000</v>
      </c>
      <c r="D3" s="12" t="s">
        <v>163</v>
      </c>
      <c r="E3" s="343"/>
      <c r="F3" s="226">
        <f t="shared" ref="F3" si="0">F45</f>
        <v>3188265</v>
      </c>
      <c r="G3" s="245">
        <f t="shared" ref="G3" si="1">G45</f>
        <v>3105919</v>
      </c>
      <c r="H3" s="211">
        <f t="shared" ref="H3:L3" si="2">H45</f>
        <v>3416536</v>
      </c>
      <c r="I3" s="211">
        <f t="shared" si="2"/>
        <v>3488513</v>
      </c>
      <c r="J3" s="211">
        <f t="shared" si="2"/>
        <v>0</v>
      </c>
      <c r="K3" s="211">
        <f t="shared" si="2"/>
        <v>3488512.5</v>
      </c>
      <c r="L3" s="417">
        <f t="shared" si="2"/>
        <v>3064820</v>
      </c>
      <c r="M3" s="211">
        <f>M45</f>
        <v>2981068.24</v>
      </c>
      <c r="N3" s="211">
        <f>N45</f>
        <v>0</v>
      </c>
      <c r="O3" s="211">
        <f t="shared" ref="O3" si="3">O45</f>
        <v>2981068.24</v>
      </c>
      <c r="P3" s="297">
        <f t="shared" ref="P3:Q3" si="4">P45</f>
        <v>2895374</v>
      </c>
      <c r="Q3" s="297">
        <f t="shared" si="4"/>
        <v>2840000</v>
      </c>
      <c r="R3" s="297">
        <f t="shared" ref="R3" si="5">R45</f>
        <v>2456000</v>
      </c>
      <c r="S3" s="26"/>
      <c r="T3" s="26"/>
    </row>
    <row r="4" spans="1:20" ht="9" hidden="1" customHeight="1" outlineLevel="1">
      <c r="B4" s="33"/>
      <c r="F4" s="219"/>
      <c r="G4" s="246"/>
      <c r="H4" s="118"/>
      <c r="L4" s="418"/>
      <c r="M4" s="26"/>
      <c r="N4" s="26"/>
      <c r="O4" s="26"/>
      <c r="P4" s="218"/>
      <c r="Q4" s="218"/>
      <c r="R4" s="218"/>
    </row>
    <row r="5" spans="1:20" hidden="1" outlineLevel="1" collapsed="1">
      <c r="A5" s="26" t="s">
        <v>0</v>
      </c>
      <c r="B5" s="33"/>
      <c r="C5" s="90">
        <v>110000</v>
      </c>
      <c r="D5" s="10" t="s">
        <v>14</v>
      </c>
      <c r="E5" s="344"/>
      <c r="F5" s="219"/>
      <c r="G5" s="246"/>
      <c r="H5" s="118">
        <f>H16</f>
        <v>2588073</v>
      </c>
      <c r="I5" s="118">
        <v>2295893</v>
      </c>
      <c r="J5" s="118"/>
      <c r="K5" s="118">
        <f t="shared" ref="K5:R5" si="6">K16</f>
        <v>2295893</v>
      </c>
      <c r="L5" s="246">
        <f>L16</f>
        <v>1887000</v>
      </c>
      <c r="M5" s="118">
        <f>M16</f>
        <v>1803915.61</v>
      </c>
      <c r="N5" s="118">
        <f>N16</f>
        <v>0</v>
      </c>
      <c r="O5" s="118">
        <f t="shared" ref="O5" si="7">O16</f>
        <v>1803915.61</v>
      </c>
      <c r="P5" s="118">
        <f t="shared" si="6"/>
        <v>1913154</v>
      </c>
      <c r="Q5" s="118">
        <f t="shared" si="6"/>
        <v>1893000</v>
      </c>
      <c r="R5" s="118">
        <f t="shared" si="6"/>
        <v>1895000</v>
      </c>
    </row>
    <row r="6" spans="1:20" hidden="1" outlineLevel="2">
      <c r="A6" s="26" t="s">
        <v>136</v>
      </c>
      <c r="B6" s="33">
        <v>1000</v>
      </c>
      <c r="C6" s="90">
        <v>110001</v>
      </c>
      <c r="D6" s="11" t="s">
        <v>555</v>
      </c>
      <c r="F6" s="227">
        <v>1676239</v>
      </c>
      <c r="G6" s="247">
        <v>1691868</v>
      </c>
      <c r="H6" s="118">
        <v>1719085</v>
      </c>
      <c r="I6" s="118">
        <v>1719084</v>
      </c>
      <c r="J6" s="118">
        <v>0</v>
      </c>
      <c r="K6" s="118">
        <f>I6+J6</f>
        <v>1719084</v>
      </c>
      <c r="L6" s="339">
        <f>506000-L12</f>
        <v>414000</v>
      </c>
      <c r="M6" s="118">
        <v>414000</v>
      </c>
      <c r="N6" s="118">
        <v>0</v>
      </c>
      <c r="O6" s="118">
        <f>M6+N6</f>
        <v>414000</v>
      </c>
      <c r="P6" s="339">
        <f>511154-P12</f>
        <v>427565</v>
      </c>
      <c r="Q6" s="339">
        <f>512000-Q12</f>
        <v>442000</v>
      </c>
      <c r="R6" s="219">
        <f>514000-R12</f>
        <v>464000</v>
      </c>
    </row>
    <row r="7" spans="1:20" hidden="1" outlineLevel="2">
      <c r="B7" s="33"/>
      <c r="C7" s="110">
        <v>110002</v>
      </c>
      <c r="D7" s="56" t="s">
        <v>434</v>
      </c>
      <c r="E7" s="133" t="s">
        <v>453</v>
      </c>
      <c r="F7" s="227"/>
      <c r="G7" s="248"/>
      <c r="H7" s="118"/>
      <c r="I7" s="118"/>
      <c r="J7" s="118"/>
      <c r="K7" s="118"/>
      <c r="L7" s="339">
        <v>1366000</v>
      </c>
      <c r="M7" s="118">
        <v>1366000</v>
      </c>
      <c r="N7" s="118">
        <v>0</v>
      </c>
      <c r="O7" s="118">
        <f>M7+N7</f>
        <v>1366000</v>
      </c>
      <c r="P7" s="219">
        <v>1366000</v>
      </c>
      <c r="Q7" s="219">
        <v>1366000</v>
      </c>
      <c r="R7" s="219">
        <v>1366000</v>
      </c>
    </row>
    <row r="8" spans="1:20" hidden="1" outlineLevel="2">
      <c r="A8" s="26" t="s">
        <v>136</v>
      </c>
      <c r="B8" s="33">
        <v>1010</v>
      </c>
      <c r="C8" s="90">
        <v>110003</v>
      </c>
      <c r="D8" s="11" t="s">
        <v>202</v>
      </c>
      <c r="F8" s="227">
        <v>10000</v>
      </c>
      <c r="G8" s="248">
        <v>7677</v>
      </c>
      <c r="H8" s="118">
        <v>8000</v>
      </c>
      <c r="I8" s="73">
        <v>5374</v>
      </c>
      <c r="J8" s="242"/>
      <c r="K8" s="118">
        <f t="shared" ref="K8:K15" si="8">I8+J8</f>
        <v>5374</v>
      </c>
      <c r="L8" s="339">
        <v>0</v>
      </c>
      <c r="M8" s="118"/>
      <c r="N8" s="118"/>
      <c r="O8" s="118">
        <f t="shared" ref="O8:O15" si="9">M8+N8</f>
        <v>0</v>
      </c>
      <c r="P8" s="219">
        <v>0</v>
      </c>
      <c r="Q8" s="219">
        <v>0</v>
      </c>
      <c r="R8" s="219">
        <v>0</v>
      </c>
    </row>
    <row r="9" spans="1:20" hidden="1" outlineLevel="2">
      <c r="A9" s="26" t="s">
        <v>136</v>
      </c>
      <c r="B9" s="33">
        <v>1011</v>
      </c>
      <c r="C9" s="90">
        <v>110005</v>
      </c>
      <c r="D9" s="56" t="s">
        <v>203</v>
      </c>
      <c r="F9" s="227">
        <v>3000</v>
      </c>
      <c r="G9" s="247">
        <v>2785</v>
      </c>
      <c r="H9" s="118">
        <v>4000</v>
      </c>
      <c r="I9" s="118">
        <v>5498</v>
      </c>
      <c r="J9" s="73"/>
      <c r="K9" s="118">
        <f t="shared" si="8"/>
        <v>5498</v>
      </c>
      <c r="L9" s="339">
        <v>3000</v>
      </c>
      <c r="M9" s="118"/>
      <c r="N9" s="118"/>
      <c r="O9" s="118">
        <f t="shared" si="9"/>
        <v>0</v>
      </c>
      <c r="P9" s="219">
        <v>3000</v>
      </c>
      <c r="Q9" s="219">
        <v>3000</v>
      </c>
      <c r="R9" s="219">
        <v>3000</v>
      </c>
    </row>
    <row r="10" spans="1:20" hidden="1" outlineLevel="2">
      <c r="A10" s="26" t="s">
        <v>136</v>
      </c>
      <c r="B10" s="36">
        <v>1012</v>
      </c>
      <c r="C10" s="90">
        <v>110007</v>
      </c>
      <c r="D10" s="56" t="s">
        <v>306</v>
      </c>
      <c r="F10" s="227">
        <v>4000</v>
      </c>
      <c r="G10" s="247">
        <v>9507</v>
      </c>
      <c r="H10" s="118">
        <v>5000</v>
      </c>
      <c r="I10" s="118">
        <v>16332</v>
      </c>
      <c r="J10" s="118">
        <v>0</v>
      </c>
      <c r="K10" s="118">
        <f t="shared" si="8"/>
        <v>16332</v>
      </c>
      <c r="L10" s="339">
        <v>12000</v>
      </c>
      <c r="M10" s="118">
        <v>16405.61</v>
      </c>
      <c r="N10" s="118">
        <v>0</v>
      </c>
      <c r="O10" s="118">
        <f t="shared" si="9"/>
        <v>16405.61</v>
      </c>
      <c r="P10" s="219">
        <v>12000</v>
      </c>
      <c r="Q10" s="219">
        <v>12000</v>
      </c>
      <c r="R10" s="219">
        <v>12000</v>
      </c>
    </row>
    <row r="11" spans="1:20" hidden="1" outlineLevel="2">
      <c r="A11" s="26" t="s">
        <v>136</v>
      </c>
      <c r="B11" s="36">
        <v>1018</v>
      </c>
      <c r="C11" s="90">
        <v>110018</v>
      </c>
      <c r="D11" s="56" t="s">
        <v>175</v>
      </c>
      <c r="F11" s="228">
        <v>220625</v>
      </c>
      <c r="G11" s="248">
        <v>220625</v>
      </c>
      <c r="H11" s="73">
        <v>220625</v>
      </c>
      <c r="I11" s="118">
        <v>220625</v>
      </c>
      <c r="J11" s="118">
        <v>0</v>
      </c>
      <c r="K11" s="118">
        <f t="shared" si="8"/>
        <v>220625</v>
      </c>
      <c r="L11" s="339">
        <v>0</v>
      </c>
      <c r="M11" s="118"/>
      <c r="N11" s="118"/>
      <c r="O11" s="118">
        <f t="shared" si="9"/>
        <v>0</v>
      </c>
      <c r="P11" s="219">
        <v>0</v>
      </c>
      <c r="Q11" s="219">
        <v>0</v>
      </c>
      <c r="R11" s="219">
        <v>0</v>
      </c>
    </row>
    <row r="12" spans="1:20" hidden="1" outlineLevel="2">
      <c r="A12" s="26" t="s">
        <v>136</v>
      </c>
      <c r="B12" s="36">
        <v>1019</v>
      </c>
      <c r="C12" s="90">
        <v>110019</v>
      </c>
      <c r="D12" s="56" t="s">
        <v>200</v>
      </c>
      <c r="E12" s="133"/>
      <c r="F12" s="227">
        <v>161000</v>
      </c>
      <c r="G12" s="247">
        <v>158014</v>
      </c>
      <c r="H12" s="118">
        <v>159000</v>
      </c>
      <c r="I12" s="118">
        <v>158980</v>
      </c>
      <c r="J12" s="118">
        <v>0</v>
      </c>
      <c r="K12" s="118">
        <f t="shared" si="8"/>
        <v>158980</v>
      </c>
      <c r="L12" s="339">
        <v>92000</v>
      </c>
      <c r="M12" s="242"/>
      <c r="N12" s="242"/>
      <c r="O12" s="118">
        <f t="shared" si="9"/>
        <v>0</v>
      </c>
      <c r="P12" s="219">
        <v>83589</v>
      </c>
      <c r="Q12" s="219">
        <v>70000</v>
      </c>
      <c r="R12" s="219">
        <v>50000</v>
      </c>
    </row>
    <row r="13" spans="1:20" hidden="1" outlineLevel="2">
      <c r="B13" s="36">
        <v>1020</v>
      </c>
      <c r="C13" s="110">
        <v>110020</v>
      </c>
      <c r="D13" s="56" t="s">
        <v>183</v>
      </c>
      <c r="F13" s="227">
        <v>0</v>
      </c>
      <c r="G13" s="247">
        <v>0</v>
      </c>
      <c r="H13" s="118">
        <v>302363</v>
      </c>
      <c r="I13" s="118">
        <v>0</v>
      </c>
      <c r="J13" s="73">
        <v>0</v>
      </c>
      <c r="K13" s="118">
        <f t="shared" si="8"/>
        <v>0</v>
      </c>
      <c r="L13" s="339">
        <v>0</v>
      </c>
      <c r="M13" s="118">
        <v>7510</v>
      </c>
      <c r="N13" s="118"/>
      <c r="O13" s="118">
        <f t="shared" si="9"/>
        <v>7510</v>
      </c>
      <c r="P13" s="219">
        <v>0</v>
      </c>
      <c r="Q13" s="219">
        <v>0</v>
      </c>
      <c r="R13" s="219">
        <v>0</v>
      </c>
    </row>
    <row r="14" spans="1:20" hidden="1" outlineLevel="2">
      <c r="A14" s="26" t="s">
        <v>136</v>
      </c>
      <c r="B14" s="33">
        <v>1710</v>
      </c>
      <c r="C14" s="110">
        <v>110021</v>
      </c>
      <c r="D14" s="56" t="s">
        <v>199</v>
      </c>
      <c r="F14" s="227">
        <v>170000</v>
      </c>
      <c r="G14" s="247">
        <v>170000</v>
      </c>
      <c r="H14" s="118">
        <v>170000</v>
      </c>
      <c r="I14" s="118">
        <v>170000</v>
      </c>
      <c r="J14" s="118"/>
      <c r="K14" s="118">
        <f t="shared" si="8"/>
        <v>170000</v>
      </c>
      <c r="L14" s="339">
        <v>0</v>
      </c>
      <c r="M14" s="118"/>
      <c r="N14" s="118"/>
      <c r="O14" s="118">
        <f t="shared" si="9"/>
        <v>0</v>
      </c>
      <c r="P14" s="219">
        <v>0</v>
      </c>
      <c r="Q14" s="219">
        <v>0</v>
      </c>
      <c r="R14" s="219">
        <v>0</v>
      </c>
    </row>
    <row r="15" spans="1:20" hidden="1" outlineLevel="2">
      <c r="A15" s="26" t="s">
        <v>136</v>
      </c>
      <c r="B15" s="33">
        <v>1715</v>
      </c>
      <c r="C15" s="110">
        <v>110098</v>
      </c>
      <c r="D15" s="56" t="s">
        <v>1</v>
      </c>
      <c r="F15" s="229">
        <v>0</v>
      </c>
      <c r="G15" s="249">
        <v>0</v>
      </c>
      <c r="H15" s="178">
        <v>0</v>
      </c>
      <c r="I15" s="178">
        <v>0</v>
      </c>
      <c r="J15" s="178">
        <v>0</v>
      </c>
      <c r="K15" s="178">
        <f t="shared" si="8"/>
        <v>0</v>
      </c>
      <c r="L15" s="435">
        <v>0</v>
      </c>
      <c r="M15" s="414"/>
      <c r="N15" s="414"/>
      <c r="O15" s="178">
        <f t="shared" si="9"/>
        <v>0</v>
      </c>
      <c r="P15" s="296">
        <v>21000</v>
      </c>
      <c r="Q15" s="296">
        <v>0</v>
      </c>
      <c r="R15" s="296">
        <v>0</v>
      </c>
      <c r="S15" s="44"/>
    </row>
    <row r="16" spans="1:20" hidden="1" outlineLevel="2">
      <c r="A16" s="26" t="s">
        <v>2</v>
      </c>
      <c r="B16" s="33">
        <v>1049</v>
      </c>
      <c r="C16" s="110">
        <v>119999</v>
      </c>
      <c r="D16" s="10" t="s">
        <v>3</v>
      </c>
      <c r="F16" s="226">
        <f t="shared" ref="F16:R16" si="10">SUM(F6:F15)</f>
        <v>2244864</v>
      </c>
      <c r="G16" s="245">
        <f t="shared" si="10"/>
        <v>2260476</v>
      </c>
      <c r="H16" s="179">
        <f t="shared" si="10"/>
        <v>2588073</v>
      </c>
      <c r="I16" s="179">
        <f t="shared" si="10"/>
        <v>2295893</v>
      </c>
      <c r="J16" s="179">
        <f t="shared" si="10"/>
        <v>0</v>
      </c>
      <c r="K16" s="179">
        <f t="shared" si="10"/>
        <v>2295893</v>
      </c>
      <c r="L16" s="419">
        <f>SUM(L6:L15)</f>
        <v>1887000</v>
      </c>
      <c r="M16" s="179">
        <f t="shared" si="10"/>
        <v>1803915.61</v>
      </c>
      <c r="N16" s="179">
        <f t="shared" si="10"/>
        <v>0</v>
      </c>
      <c r="O16" s="179">
        <f t="shared" ref="O16" si="11">SUM(O6:O15)</f>
        <v>1803915.61</v>
      </c>
      <c r="P16" s="220">
        <f t="shared" si="10"/>
        <v>1913154</v>
      </c>
      <c r="Q16" s="220">
        <f t="shared" si="10"/>
        <v>1893000</v>
      </c>
      <c r="R16" s="220">
        <f t="shared" si="10"/>
        <v>1895000</v>
      </c>
    </row>
    <row r="17" spans="1:20" ht="9" hidden="1" customHeight="1" outlineLevel="1">
      <c r="B17" s="33"/>
      <c r="D17" s="10"/>
      <c r="F17" s="219"/>
      <c r="G17" s="246"/>
      <c r="H17" s="118"/>
      <c r="I17" s="5"/>
      <c r="J17" s="5"/>
      <c r="K17" s="5"/>
      <c r="L17" s="418"/>
      <c r="M17" s="26"/>
      <c r="N17" s="26"/>
      <c r="O17" s="26"/>
      <c r="P17" s="218"/>
      <c r="Q17" s="218"/>
      <c r="R17" s="218"/>
    </row>
    <row r="18" spans="1:20" hidden="1" outlineLevel="1" collapsed="1">
      <c r="A18" s="26" t="s">
        <v>0</v>
      </c>
      <c r="B18" s="33"/>
      <c r="C18" s="90">
        <v>120000</v>
      </c>
      <c r="D18" s="10" t="s">
        <v>152</v>
      </c>
      <c r="E18" s="344"/>
      <c r="F18" s="219"/>
      <c r="G18" s="246"/>
      <c r="H18" s="118">
        <f>H25</f>
        <v>161000</v>
      </c>
      <c r="I18" s="118">
        <f t="shared" ref="I18:R18" si="12">I25</f>
        <v>167502</v>
      </c>
      <c r="J18" s="118">
        <f t="shared" si="12"/>
        <v>0</v>
      </c>
      <c r="K18" s="118">
        <f t="shared" si="12"/>
        <v>167502</v>
      </c>
      <c r="L18" s="246">
        <f t="shared" si="12"/>
        <v>151600</v>
      </c>
      <c r="M18" s="118">
        <f>M25</f>
        <v>167029.97</v>
      </c>
      <c r="N18" s="118">
        <f>N25</f>
        <v>0</v>
      </c>
      <c r="O18" s="118">
        <f t="shared" ref="O18" si="13">O25</f>
        <v>167029.97</v>
      </c>
      <c r="P18" s="118">
        <f t="shared" si="12"/>
        <v>180000</v>
      </c>
      <c r="Q18" s="118">
        <f t="shared" si="12"/>
        <v>140000</v>
      </c>
      <c r="R18" s="118">
        <f t="shared" si="12"/>
        <v>185000</v>
      </c>
    </row>
    <row r="19" spans="1:20" hidden="1" outlineLevel="2">
      <c r="A19" s="26" t="s">
        <v>136</v>
      </c>
      <c r="B19" s="36">
        <v>1414</v>
      </c>
      <c r="C19" s="90">
        <v>120001</v>
      </c>
      <c r="D19" s="11" t="s">
        <v>121</v>
      </c>
      <c r="E19" s="133"/>
      <c r="F19" s="227">
        <v>0</v>
      </c>
      <c r="G19" s="247">
        <v>0</v>
      </c>
      <c r="H19" s="118">
        <v>35000</v>
      </c>
      <c r="I19" s="118">
        <v>55324</v>
      </c>
      <c r="J19" s="118"/>
      <c r="K19" s="118">
        <f>I19+J19</f>
        <v>55324</v>
      </c>
      <c r="L19" s="339">
        <f>32000+3750</f>
        <v>35750</v>
      </c>
      <c r="M19" s="118">
        <v>42298.37</v>
      </c>
      <c r="N19" s="118"/>
      <c r="O19" s="118">
        <f>M19+N19</f>
        <v>42298.37</v>
      </c>
      <c r="P19" s="219">
        <v>42000</v>
      </c>
      <c r="Q19" s="219">
        <v>0</v>
      </c>
      <c r="R19" s="219">
        <v>43000</v>
      </c>
      <c r="S19" s="158"/>
      <c r="T19" s="158"/>
    </row>
    <row r="20" spans="1:20" hidden="1" outlineLevel="2">
      <c r="A20" s="26" t="s">
        <v>136</v>
      </c>
      <c r="B20" s="36">
        <v>1415</v>
      </c>
      <c r="C20" s="90">
        <v>120002</v>
      </c>
      <c r="D20" s="11" t="s">
        <v>119</v>
      </c>
      <c r="E20" s="133"/>
      <c r="F20" s="227">
        <v>40000</v>
      </c>
      <c r="G20" s="247">
        <v>31966</v>
      </c>
      <c r="H20" s="118">
        <v>38000</v>
      </c>
      <c r="I20" s="118">
        <v>16256</v>
      </c>
      <c r="J20" s="118"/>
      <c r="K20" s="118">
        <f>I20+J20</f>
        <v>16256</v>
      </c>
      <c r="L20" s="339">
        <f>18000+3750</f>
        <v>21750</v>
      </c>
      <c r="M20" s="118">
        <v>26836.66</v>
      </c>
      <c r="N20" s="118"/>
      <c r="O20" s="118">
        <f>M20+N20</f>
        <v>26836.66</v>
      </c>
      <c r="P20" s="219">
        <v>23000</v>
      </c>
      <c r="Q20" s="219">
        <v>24000</v>
      </c>
      <c r="R20" s="219">
        <v>25000</v>
      </c>
      <c r="S20" s="158"/>
      <c r="T20" s="158"/>
    </row>
    <row r="21" spans="1:20" hidden="1" outlineLevel="2">
      <c r="A21" s="26" t="s">
        <v>136</v>
      </c>
      <c r="B21" s="36">
        <v>1417</v>
      </c>
      <c r="C21" s="90">
        <v>120003</v>
      </c>
      <c r="D21" s="11" t="s">
        <v>120</v>
      </c>
      <c r="E21" s="133"/>
      <c r="F21" s="227">
        <v>100000</v>
      </c>
      <c r="G21" s="247">
        <v>31249</v>
      </c>
      <c r="H21" s="118">
        <v>43000</v>
      </c>
      <c r="I21" s="73">
        <v>45294</v>
      </c>
      <c r="J21" s="73">
        <v>0</v>
      </c>
      <c r="K21" s="118">
        <f>I21+J21</f>
        <v>45294</v>
      </c>
      <c r="L21" s="339">
        <f>27700+6700</f>
        <v>34400</v>
      </c>
      <c r="M21" s="118">
        <v>49006.77</v>
      </c>
      <c r="N21" s="118">
        <v>0</v>
      </c>
      <c r="O21" s="118">
        <f>M21+N21</f>
        <v>49006.77</v>
      </c>
      <c r="P21" s="339">
        <v>50000</v>
      </c>
      <c r="Q21" s="339">
        <v>50000</v>
      </c>
      <c r="R21" s="219">
        <v>50000</v>
      </c>
      <c r="T21" s="179"/>
    </row>
    <row r="22" spans="1:20" hidden="1" outlineLevel="2">
      <c r="A22" s="26" t="s">
        <v>136</v>
      </c>
      <c r="B22" s="36">
        <v>1418</v>
      </c>
      <c r="C22" s="90">
        <v>120004</v>
      </c>
      <c r="D22" s="11" t="s">
        <v>122</v>
      </c>
      <c r="E22" s="133"/>
      <c r="F22" s="229">
        <v>110000</v>
      </c>
      <c r="G22" s="249">
        <v>129650</v>
      </c>
      <c r="H22" s="178">
        <v>45000</v>
      </c>
      <c r="I22" s="73">
        <v>50628</v>
      </c>
      <c r="J22" s="73">
        <v>0</v>
      </c>
      <c r="K22" s="118">
        <f>I22+J22</f>
        <v>50628</v>
      </c>
      <c r="L22" s="339">
        <f>43000+16700</f>
        <v>59700</v>
      </c>
      <c r="M22" s="118">
        <v>44502.79</v>
      </c>
      <c r="N22" s="118"/>
      <c r="O22" s="358">
        <v>44502.79</v>
      </c>
      <c r="P22" s="339">
        <v>65000</v>
      </c>
      <c r="Q22" s="339">
        <v>66000</v>
      </c>
      <c r="R22" s="219">
        <v>67000</v>
      </c>
    </row>
    <row r="23" spans="1:20" hidden="1" outlineLevel="2">
      <c r="B23" s="36"/>
      <c r="C23" s="90">
        <v>120005</v>
      </c>
      <c r="D23" s="11" t="s">
        <v>558</v>
      </c>
      <c r="E23" s="133" t="s">
        <v>560</v>
      </c>
      <c r="F23" s="227"/>
      <c r="G23" s="247"/>
      <c r="H23" s="118"/>
      <c r="I23" s="73">
        <v>0</v>
      </c>
      <c r="J23" s="73"/>
      <c r="K23" s="118"/>
      <c r="L23" s="339">
        <v>0</v>
      </c>
      <c r="M23" s="118">
        <v>4385.38</v>
      </c>
      <c r="N23" s="118">
        <v>0</v>
      </c>
      <c r="O23" s="118">
        <f>M23+N23</f>
        <v>4385.38</v>
      </c>
      <c r="P23" s="219"/>
      <c r="Q23" s="219"/>
      <c r="R23" s="219"/>
    </row>
    <row r="24" spans="1:20" hidden="1" outlineLevel="2">
      <c r="B24" s="36"/>
      <c r="C24" s="90">
        <v>120006</v>
      </c>
      <c r="D24" s="11" t="s">
        <v>559</v>
      </c>
      <c r="E24" s="133" t="s">
        <v>560</v>
      </c>
      <c r="F24" s="227"/>
      <c r="G24" s="247"/>
      <c r="H24" s="118"/>
      <c r="I24" s="213">
        <v>0</v>
      </c>
      <c r="J24" s="213"/>
      <c r="K24" s="178"/>
      <c r="L24" s="420">
        <v>0</v>
      </c>
      <c r="M24" s="178">
        <v>0</v>
      </c>
      <c r="N24" s="178">
        <v>0</v>
      </c>
      <c r="O24" s="178">
        <f>M24+N24</f>
        <v>0</v>
      </c>
      <c r="P24" s="296"/>
      <c r="Q24" s="296"/>
      <c r="R24" s="296"/>
    </row>
    <row r="25" spans="1:20" hidden="1" outlineLevel="2">
      <c r="A25" s="26" t="s">
        <v>2</v>
      </c>
      <c r="B25" s="36">
        <v>1419</v>
      </c>
      <c r="C25" s="90">
        <v>129999</v>
      </c>
      <c r="D25" s="10" t="s">
        <v>204</v>
      </c>
      <c r="E25" s="133"/>
      <c r="F25" s="226">
        <f t="shared" ref="F25:G25" si="14">SUM(F19:F22)</f>
        <v>250000</v>
      </c>
      <c r="G25" s="245">
        <f t="shared" si="14"/>
        <v>192865</v>
      </c>
      <c r="H25" s="179">
        <f t="shared" ref="H25:K25" si="15">SUM(H19:H22)</f>
        <v>161000</v>
      </c>
      <c r="I25" s="179">
        <f>SUM(I19:I24)</f>
        <v>167502</v>
      </c>
      <c r="J25" s="179">
        <f t="shared" si="15"/>
        <v>0</v>
      </c>
      <c r="K25" s="179">
        <f t="shared" si="15"/>
        <v>167502</v>
      </c>
      <c r="L25" s="419">
        <f t="shared" ref="L25:R25" si="16">SUM(L19:L24)</f>
        <v>151600</v>
      </c>
      <c r="M25" s="179">
        <f>SUM(M19:M24)</f>
        <v>167029.97</v>
      </c>
      <c r="N25" s="179">
        <f t="shared" si="16"/>
        <v>0</v>
      </c>
      <c r="O25" s="179">
        <f t="shared" si="16"/>
        <v>167029.97</v>
      </c>
      <c r="P25" s="220">
        <f t="shared" si="16"/>
        <v>180000</v>
      </c>
      <c r="Q25" s="220">
        <f t="shared" si="16"/>
        <v>140000</v>
      </c>
      <c r="R25" s="220">
        <f t="shared" si="16"/>
        <v>185000</v>
      </c>
    </row>
    <row r="26" spans="1:20" ht="9" hidden="1" customHeight="1" outlineLevel="1">
      <c r="B26" s="46"/>
      <c r="E26" s="133"/>
      <c r="F26" s="219"/>
      <c r="G26" s="246"/>
      <c r="H26" s="118"/>
      <c r="I26" s="5"/>
      <c r="J26" s="5"/>
      <c r="K26" s="5"/>
      <c r="L26" s="418"/>
      <c r="M26" s="26"/>
      <c r="N26" s="26"/>
      <c r="O26" s="26"/>
      <c r="P26" s="218"/>
      <c r="Q26" s="218"/>
      <c r="R26" s="218"/>
    </row>
    <row r="27" spans="1:20" hidden="1" outlineLevel="1" collapsed="1">
      <c r="A27" s="26" t="s">
        <v>0</v>
      </c>
      <c r="B27" s="46"/>
      <c r="C27" s="90">
        <v>130000</v>
      </c>
      <c r="D27" s="10" t="s">
        <v>192</v>
      </c>
      <c r="E27" s="344"/>
      <c r="F27" s="219"/>
      <c r="G27" s="246"/>
      <c r="H27" s="118">
        <f>H29</f>
        <v>154700</v>
      </c>
      <c r="I27" s="118">
        <f t="shared" ref="I27:R27" si="17">I29</f>
        <v>150687</v>
      </c>
      <c r="J27" s="118">
        <f t="shared" si="17"/>
        <v>0</v>
      </c>
      <c r="K27" s="118">
        <f t="shared" si="17"/>
        <v>150686.5</v>
      </c>
      <c r="L27" s="246">
        <f t="shared" si="17"/>
        <v>164820</v>
      </c>
      <c r="M27" s="118">
        <f>M29</f>
        <v>166515.87</v>
      </c>
      <c r="N27" s="118">
        <f>N29</f>
        <v>0</v>
      </c>
      <c r="O27" s="118">
        <f t="shared" ref="O27" si="18">O29</f>
        <v>166515.87</v>
      </c>
      <c r="P27" s="118">
        <f t="shared" si="17"/>
        <v>170000</v>
      </c>
      <c r="Q27" s="118">
        <f t="shared" si="17"/>
        <v>170000</v>
      </c>
      <c r="R27" s="118">
        <f t="shared" si="17"/>
        <v>170000</v>
      </c>
    </row>
    <row r="28" spans="1:20" hidden="1" outlineLevel="2">
      <c r="A28" s="26" t="s">
        <v>136</v>
      </c>
      <c r="B28" s="33">
        <v>1800</v>
      </c>
      <c r="C28" s="90">
        <v>130001</v>
      </c>
      <c r="D28" s="56" t="s">
        <v>64</v>
      </c>
      <c r="E28" s="44"/>
      <c r="F28" s="229">
        <v>80000</v>
      </c>
      <c r="G28" s="249">
        <v>130215</v>
      </c>
      <c r="H28" s="178">
        <v>154700</v>
      </c>
      <c r="I28" s="178">
        <v>150687</v>
      </c>
      <c r="J28" s="178">
        <v>0</v>
      </c>
      <c r="K28" s="178">
        <v>150686.5</v>
      </c>
      <c r="L28" s="420">
        <f>'2018 Sommerlejr'!C8</f>
        <v>164820</v>
      </c>
      <c r="M28" s="178">
        <v>166515.87</v>
      </c>
      <c r="N28" s="178"/>
      <c r="O28" s="178">
        <f>M28+N28</f>
        <v>166515.87</v>
      </c>
      <c r="P28" s="296">
        <v>170000</v>
      </c>
      <c r="Q28" s="296">
        <v>170000</v>
      </c>
      <c r="R28" s="296">
        <v>170000</v>
      </c>
    </row>
    <row r="29" spans="1:20" hidden="1" outlineLevel="2">
      <c r="A29" s="26" t="s">
        <v>2</v>
      </c>
      <c r="B29" s="33"/>
      <c r="C29" s="90">
        <v>139999</v>
      </c>
      <c r="D29" s="56" t="s">
        <v>299</v>
      </c>
      <c r="F29" s="226">
        <f t="shared" ref="F29:G29" si="19">F28</f>
        <v>80000</v>
      </c>
      <c r="G29" s="245">
        <f t="shared" si="19"/>
        <v>130215</v>
      </c>
      <c r="H29" s="179">
        <f t="shared" ref="H29:N29" si="20">H28</f>
        <v>154700</v>
      </c>
      <c r="I29" s="179">
        <f t="shared" si="20"/>
        <v>150687</v>
      </c>
      <c r="J29" s="179">
        <f t="shared" si="20"/>
        <v>0</v>
      </c>
      <c r="K29" s="179">
        <f t="shared" si="20"/>
        <v>150686.5</v>
      </c>
      <c r="L29" s="419">
        <f t="shared" si="20"/>
        <v>164820</v>
      </c>
      <c r="M29" s="179">
        <f t="shared" si="20"/>
        <v>166515.87</v>
      </c>
      <c r="N29" s="179">
        <f t="shared" si="20"/>
        <v>0</v>
      </c>
      <c r="O29" s="179">
        <f t="shared" ref="O29" si="21">O28</f>
        <v>166515.87</v>
      </c>
      <c r="P29" s="220">
        <f t="shared" ref="P29:Q29" si="22">P28</f>
        <v>170000</v>
      </c>
      <c r="Q29" s="220">
        <f t="shared" si="22"/>
        <v>170000</v>
      </c>
      <c r="R29" s="220">
        <f t="shared" ref="R29" si="23">R28</f>
        <v>170000</v>
      </c>
    </row>
    <row r="30" spans="1:20" ht="9" hidden="1" customHeight="1" outlineLevel="1">
      <c r="B30" s="33"/>
      <c r="D30" s="56"/>
      <c r="F30" s="219"/>
      <c r="G30" s="246"/>
      <c r="H30" s="118"/>
      <c r="I30" s="5"/>
      <c r="J30" s="5"/>
      <c r="K30" s="5"/>
      <c r="L30" s="418"/>
      <c r="M30" s="26"/>
      <c r="N30" s="26"/>
      <c r="O30" s="26"/>
      <c r="P30" s="218"/>
      <c r="Q30" s="218"/>
      <c r="R30" s="218"/>
    </row>
    <row r="31" spans="1:20" hidden="1" outlineLevel="1" collapsed="1">
      <c r="A31" s="26" t="s">
        <v>0</v>
      </c>
      <c r="B31" s="33"/>
      <c r="C31" s="90">
        <v>140000</v>
      </c>
      <c r="D31" s="55" t="s">
        <v>205</v>
      </c>
      <c r="E31" s="344"/>
      <c r="F31" s="219"/>
      <c r="G31" s="246"/>
      <c r="H31" s="118">
        <f>H33</f>
        <v>302363</v>
      </c>
      <c r="I31" s="118">
        <f t="shared" ref="I31:Q31" si="24">I33</f>
        <v>475000</v>
      </c>
      <c r="J31" s="118">
        <f t="shared" si="24"/>
        <v>0</v>
      </c>
      <c r="K31" s="118">
        <f t="shared" si="24"/>
        <v>475000</v>
      </c>
      <c r="L31" s="246">
        <f t="shared" si="24"/>
        <v>0</v>
      </c>
      <c r="M31" s="118">
        <f>M33</f>
        <v>0</v>
      </c>
      <c r="N31" s="118">
        <f>N33</f>
        <v>0</v>
      </c>
      <c r="O31" s="118">
        <f>M31+N31</f>
        <v>0</v>
      </c>
      <c r="P31" s="118">
        <f t="shared" si="24"/>
        <v>0</v>
      </c>
      <c r="Q31" s="118">
        <f t="shared" si="24"/>
        <v>0</v>
      </c>
      <c r="R31" s="118">
        <v>0</v>
      </c>
    </row>
    <row r="32" spans="1:20" hidden="1" outlineLevel="2">
      <c r="A32" s="26" t="s">
        <v>136</v>
      </c>
      <c r="B32" s="33">
        <v>51198</v>
      </c>
      <c r="C32" s="90">
        <v>140001</v>
      </c>
      <c r="D32" s="56" t="s">
        <v>206</v>
      </c>
      <c r="E32" s="133" t="s">
        <v>454</v>
      </c>
      <c r="F32" s="229">
        <v>250401</v>
      </c>
      <c r="G32" s="249">
        <v>250401</v>
      </c>
      <c r="H32" s="178">
        <v>302363</v>
      </c>
      <c r="I32" s="213">
        <v>475000</v>
      </c>
      <c r="J32" s="213">
        <v>0</v>
      </c>
      <c r="K32" s="178">
        <f>I32+J32</f>
        <v>475000</v>
      </c>
      <c r="L32" s="420">
        <v>0</v>
      </c>
      <c r="M32" s="178">
        <v>0</v>
      </c>
      <c r="N32" s="178">
        <v>0</v>
      </c>
      <c r="O32" s="178">
        <f>M32+N32</f>
        <v>0</v>
      </c>
      <c r="P32" s="296">
        <v>0</v>
      </c>
      <c r="Q32" s="296">
        <v>0</v>
      </c>
      <c r="R32" s="178">
        <v>0</v>
      </c>
    </row>
    <row r="33" spans="1:20" hidden="1" outlineLevel="2">
      <c r="A33" s="26" t="s">
        <v>2</v>
      </c>
      <c r="B33" s="33">
        <v>51589</v>
      </c>
      <c r="C33" s="90">
        <v>140598</v>
      </c>
      <c r="D33" s="55" t="s">
        <v>191</v>
      </c>
      <c r="F33" s="226">
        <f t="shared" ref="F33:G33" si="25">F32</f>
        <v>250401</v>
      </c>
      <c r="G33" s="245">
        <f t="shared" si="25"/>
        <v>250401</v>
      </c>
      <c r="H33" s="179">
        <f t="shared" ref="H33:N33" si="26">H32</f>
        <v>302363</v>
      </c>
      <c r="I33" s="179">
        <f t="shared" si="26"/>
        <v>475000</v>
      </c>
      <c r="J33" s="179">
        <f t="shared" si="26"/>
        <v>0</v>
      </c>
      <c r="K33" s="179">
        <f t="shared" si="26"/>
        <v>475000</v>
      </c>
      <c r="L33" s="419">
        <f t="shared" si="26"/>
        <v>0</v>
      </c>
      <c r="M33" s="179">
        <f t="shared" si="26"/>
        <v>0</v>
      </c>
      <c r="N33" s="179">
        <f t="shared" si="26"/>
        <v>0</v>
      </c>
      <c r="O33" s="179">
        <f t="shared" ref="O33" si="27">O32</f>
        <v>0</v>
      </c>
      <c r="P33" s="220">
        <f t="shared" ref="P33:Q33" si="28">P32</f>
        <v>0</v>
      </c>
      <c r="Q33" s="220">
        <f t="shared" si="28"/>
        <v>0</v>
      </c>
      <c r="R33" s="220">
        <f t="shared" ref="R33" si="29">R32</f>
        <v>0</v>
      </c>
    </row>
    <row r="34" spans="1:20" ht="9" hidden="1" customHeight="1" outlineLevel="1">
      <c r="B34" s="33"/>
      <c r="F34" s="219"/>
      <c r="G34" s="246"/>
      <c r="H34" s="118"/>
      <c r="I34" s="5"/>
      <c r="J34" s="5"/>
      <c r="K34" s="5"/>
      <c r="L34" s="418"/>
      <c r="M34" s="26"/>
      <c r="N34" s="26"/>
      <c r="O34" s="26"/>
      <c r="P34" s="218"/>
      <c r="Q34" s="218"/>
      <c r="R34" s="218"/>
    </row>
    <row r="35" spans="1:20" hidden="1" outlineLevel="1" collapsed="1">
      <c r="A35" s="26" t="s">
        <v>0</v>
      </c>
      <c r="B35" s="33"/>
      <c r="C35" s="90">
        <v>150000</v>
      </c>
      <c r="D35" s="10" t="s">
        <v>153</v>
      </c>
      <c r="E35" s="344"/>
      <c r="F35" s="219"/>
      <c r="G35" s="246"/>
      <c r="H35" s="118">
        <f>H43</f>
        <v>210400</v>
      </c>
      <c r="I35" s="118">
        <f t="shared" ref="I35:R35" si="30">I43</f>
        <v>399431</v>
      </c>
      <c r="J35" s="118">
        <f t="shared" si="30"/>
        <v>0</v>
      </c>
      <c r="K35" s="118">
        <f t="shared" si="30"/>
        <v>399431</v>
      </c>
      <c r="L35" s="246">
        <f t="shared" si="30"/>
        <v>861400</v>
      </c>
      <c r="M35" s="118">
        <f>M43</f>
        <v>843606.79</v>
      </c>
      <c r="N35" s="118">
        <f>N43</f>
        <v>0</v>
      </c>
      <c r="O35" s="118">
        <f t="shared" ref="O35" si="31">O43</f>
        <v>843606.79</v>
      </c>
      <c r="P35" s="118">
        <f t="shared" si="30"/>
        <v>632220</v>
      </c>
      <c r="Q35" s="118">
        <f t="shared" si="30"/>
        <v>637000</v>
      </c>
      <c r="R35" s="118">
        <f t="shared" si="30"/>
        <v>206000</v>
      </c>
    </row>
    <row r="36" spans="1:20" hidden="1" outlineLevel="2">
      <c r="A36" s="26" t="s">
        <v>136</v>
      </c>
      <c r="B36" s="33">
        <v>1050</v>
      </c>
      <c r="C36" s="90">
        <v>150001</v>
      </c>
      <c r="D36" s="11" t="s">
        <v>18</v>
      </c>
      <c r="E36" s="26" t="s">
        <v>463</v>
      </c>
      <c r="F36" s="227">
        <v>50000</v>
      </c>
      <c r="G36" s="247">
        <v>3100</v>
      </c>
      <c r="H36" s="118">
        <v>5000</v>
      </c>
      <c r="I36" s="118">
        <v>0</v>
      </c>
      <c r="J36" s="118">
        <v>0</v>
      </c>
      <c r="K36" s="118">
        <f t="shared" ref="K36:K42" si="32">I36+J36</f>
        <v>0</v>
      </c>
      <c r="L36" s="339">
        <v>440000</v>
      </c>
      <c r="M36" s="118">
        <v>440000</v>
      </c>
      <c r="N36" s="118">
        <v>0</v>
      </c>
      <c r="O36" s="118">
        <f t="shared" ref="O36:O42" si="33">M36+N36</f>
        <v>440000</v>
      </c>
      <c r="P36" s="219">
        <v>440000</v>
      </c>
      <c r="Q36" s="219">
        <v>440000</v>
      </c>
      <c r="R36" s="219">
        <v>0</v>
      </c>
      <c r="T36" s="118"/>
    </row>
    <row r="37" spans="1:20" hidden="1" outlineLevel="2">
      <c r="A37" s="26" t="s">
        <v>136</v>
      </c>
      <c r="B37" s="36">
        <v>1110</v>
      </c>
      <c r="C37" s="90">
        <v>150002</v>
      </c>
      <c r="D37" s="11" t="s">
        <v>87</v>
      </c>
      <c r="F37" s="227">
        <v>200000</v>
      </c>
      <c r="G37" s="247">
        <v>100000</v>
      </c>
      <c r="H37" s="118">
        <v>100000</v>
      </c>
      <c r="I37" s="118">
        <v>100000</v>
      </c>
      <c r="J37" s="118">
        <v>0</v>
      </c>
      <c r="K37" s="118">
        <f t="shared" si="32"/>
        <v>100000</v>
      </c>
      <c r="L37" s="339">
        <f>50000</f>
        <v>50000</v>
      </c>
      <c r="M37" s="118">
        <v>62000</v>
      </c>
      <c r="N37" s="118">
        <v>0</v>
      </c>
      <c r="O37" s="118">
        <f t="shared" si="33"/>
        <v>62000</v>
      </c>
      <c r="P37" s="219">
        <v>50000</v>
      </c>
      <c r="Q37" s="219">
        <v>50000</v>
      </c>
      <c r="R37" s="219">
        <v>50000</v>
      </c>
      <c r="S37" s="26"/>
    </row>
    <row r="38" spans="1:20" hidden="1" outlineLevel="2">
      <c r="A38" s="26" t="s">
        <v>136</v>
      </c>
      <c r="B38" s="33">
        <v>1300</v>
      </c>
      <c r="C38" s="90">
        <v>150003</v>
      </c>
      <c r="D38" s="11" t="s">
        <v>80</v>
      </c>
      <c r="F38" s="227">
        <v>45000</v>
      </c>
      <c r="G38" s="247">
        <v>39600</v>
      </c>
      <c r="H38" s="118">
        <v>41400</v>
      </c>
      <c r="I38" s="118">
        <v>41400</v>
      </c>
      <c r="J38" s="118">
        <v>0</v>
      </c>
      <c r="K38" s="118">
        <f t="shared" si="32"/>
        <v>41400</v>
      </c>
      <c r="L38" s="339">
        <v>44400</v>
      </c>
      <c r="M38" s="118">
        <v>44400</v>
      </c>
      <c r="N38" s="118">
        <v>0</v>
      </c>
      <c r="O38" s="118">
        <f t="shared" si="33"/>
        <v>44400</v>
      </c>
      <c r="P38" s="219">
        <v>54720</v>
      </c>
      <c r="Q38" s="219">
        <v>58000</v>
      </c>
      <c r="R38" s="219">
        <v>61500</v>
      </c>
    </row>
    <row r="39" spans="1:20" hidden="1" outlineLevel="2">
      <c r="A39" s="26" t="s">
        <v>136</v>
      </c>
      <c r="B39" s="36">
        <v>1201</v>
      </c>
      <c r="C39" s="90">
        <v>150004</v>
      </c>
      <c r="D39" s="11" t="s">
        <v>518</v>
      </c>
      <c r="E39" s="390" t="s">
        <v>517</v>
      </c>
      <c r="F39" s="227">
        <v>12000</v>
      </c>
      <c r="G39" s="247">
        <v>7253</v>
      </c>
      <c r="H39" s="118">
        <v>8000</v>
      </c>
      <c r="I39" s="118">
        <v>13319</v>
      </c>
      <c r="J39" s="118"/>
      <c r="K39" s="118">
        <f t="shared" si="32"/>
        <v>13319</v>
      </c>
      <c r="L39" s="341">
        <v>41000</v>
      </c>
      <c r="M39" s="73">
        <v>37512</v>
      </c>
      <c r="N39" s="73"/>
      <c r="O39" s="118">
        <f>M39+N39</f>
        <v>37512</v>
      </c>
      <c r="P39" s="298">
        <v>17500</v>
      </c>
      <c r="Q39" s="298">
        <v>19000</v>
      </c>
      <c r="R39" s="298">
        <v>19500</v>
      </c>
    </row>
    <row r="40" spans="1:20" hidden="1" outlineLevel="2">
      <c r="B40" s="36">
        <v>3012</v>
      </c>
      <c r="C40" s="90">
        <v>150005</v>
      </c>
      <c r="D40" s="11" t="s">
        <v>516</v>
      </c>
      <c r="E40" s="26" t="s">
        <v>510</v>
      </c>
      <c r="F40" s="227">
        <v>16000</v>
      </c>
      <c r="G40" s="248">
        <v>29975</v>
      </c>
      <c r="H40" s="118">
        <v>16000</v>
      </c>
      <c r="I40" s="118">
        <v>27675</v>
      </c>
      <c r="J40" s="118">
        <v>0</v>
      </c>
      <c r="K40" s="118">
        <f t="shared" si="32"/>
        <v>27675</v>
      </c>
      <c r="L40" s="339">
        <v>38000</v>
      </c>
      <c r="M40" s="118">
        <v>17330</v>
      </c>
      <c r="N40" s="118"/>
      <c r="O40" s="118">
        <f t="shared" si="33"/>
        <v>17330</v>
      </c>
      <c r="P40" s="219">
        <v>15000</v>
      </c>
      <c r="Q40" s="219">
        <v>15000</v>
      </c>
      <c r="R40" s="219">
        <v>20000</v>
      </c>
      <c r="S40" s="118"/>
      <c r="T40" s="118"/>
    </row>
    <row r="41" spans="1:20" hidden="1" outlineLevel="2">
      <c r="A41" s="26" t="s">
        <v>136</v>
      </c>
      <c r="B41" s="59">
        <v>1900</v>
      </c>
      <c r="C41" s="90">
        <v>150006</v>
      </c>
      <c r="D41" s="11" t="s">
        <v>515</v>
      </c>
      <c r="E41" s="74"/>
      <c r="F41" s="228">
        <v>40000</v>
      </c>
      <c r="G41" s="247">
        <v>81730</v>
      </c>
      <c r="H41" s="73">
        <v>40000</v>
      </c>
      <c r="I41" s="118">
        <v>143814</v>
      </c>
      <c r="J41" s="118"/>
      <c r="K41" s="118">
        <f t="shared" si="32"/>
        <v>143814</v>
      </c>
      <c r="L41" s="421">
        <f>30000+50000+12000+10000+28000</f>
        <v>130000</v>
      </c>
      <c r="M41" s="118">
        <v>132776.54</v>
      </c>
      <c r="N41" s="118"/>
      <c r="O41" s="118">
        <f t="shared" si="33"/>
        <v>132776.54</v>
      </c>
      <c r="P41" s="219">
        <v>0</v>
      </c>
      <c r="Q41" s="219">
        <v>0</v>
      </c>
      <c r="R41" s="219">
        <v>0</v>
      </c>
      <c r="S41" s="68"/>
    </row>
    <row r="42" spans="1:20" hidden="1" outlineLevel="2">
      <c r="A42" s="26" t="s">
        <v>136</v>
      </c>
      <c r="B42" s="59">
        <v>5081</v>
      </c>
      <c r="C42" s="90">
        <v>150007</v>
      </c>
      <c r="D42" s="56" t="s">
        <v>556</v>
      </c>
      <c r="E42" s="26" t="s">
        <v>491</v>
      </c>
      <c r="F42" s="229">
        <v>0</v>
      </c>
      <c r="G42" s="249">
        <v>10304</v>
      </c>
      <c r="H42" s="178">
        <v>0</v>
      </c>
      <c r="I42" s="178">
        <v>73223</v>
      </c>
      <c r="J42" s="178">
        <v>0</v>
      </c>
      <c r="K42" s="178">
        <f t="shared" si="32"/>
        <v>73223</v>
      </c>
      <c r="L42" s="420">
        <f>L230+5000+13000</f>
        <v>118000</v>
      </c>
      <c r="M42" s="178">
        <v>109588.25</v>
      </c>
      <c r="N42" s="178"/>
      <c r="O42" s="178">
        <f t="shared" si="33"/>
        <v>109588.25</v>
      </c>
      <c r="P42" s="296">
        <v>55000</v>
      </c>
      <c r="Q42" s="296">
        <v>55000</v>
      </c>
      <c r="R42" s="296">
        <v>55000</v>
      </c>
    </row>
    <row r="43" spans="1:20" hidden="1" outlineLevel="2">
      <c r="A43" s="26" t="s">
        <v>2</v>
      </c>
      <c r="B43" s="59">
        <v>1899</v>
      </c>
      <c r="C43" s="90">
        <v>150099</v>
      </c>
      <c r="D43" s="10" t="s">
        <v>123</v>
      </c>
      <c r="F43" s="226">
        <f t="shared" ref="F43:L43" si="34">SUM(F36:F42)</f>
        <v>363000</v>
      </c>
      <c r="G43" s="245">
        <f t="shared" si="34"/>
        <v>271962</v>
      </c>
      <c r="H43" s="179">
        <f t="shared" si="34"/>
        <v>210400</v>
      </c>
      <c r="I43" s="179">
        <f t="shared" si="34"/>
        <v>399431</v>
      </c>
      <c r="J43" s="179">
        <f t="shared" si="34"/>
        <v>0</v>
      </c>
      <c r="K43" s="179">
        <f t="shared" si="34"/>
        <v>399431</v>
      </c>
      <c r="L43" s="419">
        <f t="shared" si="34"/>
        <v>861400</v>
      </c>
      <c r="M43" s="179">
        <f>SUM(M36:M42)</f>
        <v>843606.79</v>
      </c>
      <c r="N43" s="179">
        <f t="shared" ref="N43" si="35">SUM(N36:N42)</f>
        <v>0</v>
      </c>
      <c r="O43" s="179">
        <f t="shared" ref="O43" si="36">SUM(O36:O42)</f>
        <v>843606.79</v>
      </c>
      <c r="P43" s="220">
        <f>SUM(P36:P42)</f>
        <v>632220</v>
      </c>
      <c r="Q43" s="220">
        <f>SUM(Q36:Q42)</f>
        <v>637000</v>
      </c>
      <c r="R43" s="220">
        <f>SUM(R36:R42)</f>
        <v>206000</v>
      </c>
    </row>
    <row r="44" spans="1:20" ht="9" hidden="1" customHeight="1" outlineLevel="1">
      <c r="B44" s="33"/>
      <c r="F44" s="219"/>
      <c r="G44" s="246"/>
      <c r="H44" s="118"/>
      <c r="I44" s="5"/>
      <c r="J44" s="5"/>
      <c r="K44" s="5"/>
      <c r="L44" s="418"/>
      <c r="M44" s="26"/>
      <c r="N44" s="26"/>
      <c r="O44" s="26"/>
      <c r="P44" s="218"/>
      <c r="Q44" s="218"/>
      <c r="R44" s="218"/>
    </row>
    <row r="45" spans="1:20" hidden="1" outlineLevel="1">
      <c r="A45" s="26" t="s">
        <v>2</v>
      </c>
      <c r="B45" s="33"/>
      <c r="C45" s="111">
        <v>199999</v>
      </c>
      <c r="D45" s="12" t="s">
        <v>4</v>
      </c>
      <c r="E45" s="343"/>
      <c r="F45" s="226">
        <f>F16+F25+F28++F33+F43</f>
        <v>3188265</v>
      </c>
      <c r="G45" s="245">
        <f>G16+G25+G28++G33+G43</f>
        <v>3105919</v>
      </c>
      <c r="H45" s="211">
        <f>H16+H25+H28++H33+H43</f>
        <v>3416536</v>
      </c>
      <c r="I45" s="211">
        <f>I16+I25+I29++I33+I43</f>
        <v>3488513</v>
      </c>
      <c r="J45" s="211">
        <f>J16+J25+J28++J33+J43</f>
        <v>0</v>
      </c>
      <c r="K45" s="211">
        <f>K16+K25+K28++K33+K43</f>
        <v>3488512.5</v>
      </c>
      <c r="L45" s="417">
        <f t="shared" ref="L45:R45" si="37">L16+L25+L29++L33+L43</f>
        <v>3064820</v>
      </c>
      <c r="M45" s="297">
        <f t="shared" si="37"/>
        <v>2981068.24</v>
      </c>
      <c r="N45" s="211">
        <f t="shared" si="37"/>
        <v>0</v>
      </c>
      <c r="O45" s="443">
        <f t="shared" si="37"/>
        <v>2981068.24</v>
      </c>
      <c r="P45" s="297">
        <f t="shared" si="37"/>
        <v>2895374</v>
      </c>
      <c r="Q45" s="297">
        <f t="shared" si="37"/>
        <v>2840000</v>
      </c>
      <c r="R45" s="297">
        <f t="shared" si="37"/>
        <v>2456000</v>
      </c>
    </row>
    <row r="46" spans="1:20">
      <c r="A46" s="26" t="s">
        <v>0</v>
      </c>
      <c r="B46" s="33"/>
      <c r="D46" s="163" t="s">
        <v>164</v>
      </c>
      <c r="E46" s="236"/>
      <c r="F46" s="230"/>
      <c r="G46" s="250"/>
      <c r="H46" s="212"/>
      <c r="I46" s="135"/>
      <c r="J46" s="135"/>
      <c r="K46" s="135"/>
      <c r="L46" s="422"/>
      <c r="M46" s="135"/>
      <c r="N46" s="135"/>
      <c r="O46" s="135"/>
      <c r="P46" s="230"/>
      <c r="Q46" s="230"/>
      <c r="R46" s="230"/>
    </row>
    <row r="47" spans="1:20" collapsed="1">
      <c r="A47" s="26" t="s">
        <v>0</v>
      </c>
      <c r="B47" s="33"/>
      <c r="C47" s="112">
        <v>200200</v>
      </c>
      <c r="D47" s="50" t="s">
        <v>449</v>
      </c>
      <c r="E47" s="346"/>
      <c r="F47" s="227">
        <f t="shared" ref="F47" si="38">F79</f>
        <v>205691.25</v>
      </c>
      <c r="G47" s="247">
        <f t="shared" ref="G47" si="39">G79</f>
        <v>286336</v>
      </c>
      <c r="H47" s="118">
        <f t="shared" ref="H47:O47" si="40">H79</f>
        <v>208050</v>
      </c>
      <c r="I47" s="118">
        <f t="shared" si="40"/>
        <v>316682</v>
      </c>
      <c r="J47" s="118">
        <f t="shared" si="40"/>
        <v>0</v>
      </c>
      <c r="K47" s="118">
        <f t="shared" si="40"/>
        <v>316682</v>
      </c>
      <c r="L47" s="339">
        <f t="shared" si="40"/>
        <v>180100</v>
      </c>
      <c r="M47" s="118">
        <f t="shared" si="40"/>
        <v>84048.67</v>
      </c>
      <c r="N47" s="118">
        <f t="shared" si="40"/>
        <v>0</v>
      </c>
      <c r="O47" s="118">
        <f t="shared" si="40"/>
        <v>84048.67</v>
      </c>
      <c r="P47" s="219">
        <f t="shared" ref="P47:Q47" si="41">P79</f>
        <v>147289</v>
      </c>
      <c r="Q47" s="219">
        <f t="shared" si="41"/>
        <v>125200</v>
      </c>
      <c r="R47" s="219">
        <f t="shared" ref="R47" si="42">R79</f>
        <v>105700</v>
      </c>
      <c r="S47" s="337"/>
    </row>
    <row r="48" spans="1:20" s="4" customFormat="1" ht="9" hidden="1" customHeight="1" outlineLevel="1">
      <c r="A48" s="42"/>
      <c r="B48" s="33"/>
      <c r="C48" s="112"/>
      <c r="D48" s="11"/>
      <c r="E48" s="26"/>
      <c r="F48" s="226"/>
      <c r="G48" s="245"/>
      <c r="H48" s="179"/>
      <c r="I48" s="62"/>
      <c r="J48" s="62"/>
      <c r="K48" s="62"/>
      <c r="L48" s="423"/>
      <c r="M48" s="42"/>
      <c r="N48" s="42"/>
      <c r="O48" s="42"/>
      <c r="P48" s="330"/>
      <c r="Q48" s="330"/>
      <c r="R48" s="330"/>
    </row>
    <row r="49" spans="1:19" s="4" customFormat="1" hidden="1" outlineLevel="1" collapsed="1">
      <c r="A49" s="26" t="s">
        <v>0</v>
      </c>
      <c r="B49" s="33"/>
      <c r="C49" s="112">
        <v>200100</v>
      </c>
      <c r="D49" s="10" t="s">
        <v>82</v>
      </c>
      <c r="E49" s="344"/>
      <c r="F49" s="227"/>
      <c r="G49" s="247"/>
      <c r="H49" s="118">
        <f>H52</f>
        <v>143500</v>
      </c>
      <c r="I49" s="118">
        <f t="shared" ref="I49:K49" si="43">I52</f>
        <v>128911</v>
      </c>
      <c r="J49" s="118">
        <f t="shared" si="43"/>
        <v>0</v>
      </c>
      <c r="K49" s="118">
        <f t="shared" si="43"/>
        <v>128911</v>
      </c>
      <c r="L49" s="416">
        <f>L52</f>
        <v>92000</v>
      </c>
      <c r="M49" s="358">
        <f>M52</f>
        <v>0</v>
      </c>
      <c r="N49" s="358">
        <f>N52</f>
        <v>0</v>
      </c>
      <c r="O49" s="118">
        <f t="shared" ref="O49" si="44">O52</f>
        <v>0</v>
      </c>
      <c r="P49" s="332">
        <f>P52</f>
        <v>83589</v>
      </c>
      <c r="Q49" s="332">
        <f>Q52</f>
        <v>70000</v>
      </c>
      <c r="R49" s="332">
        <f>R52</f>
        <v>50000</v>
      </c>
      <c r="S49" s="26"/>
    </row>
    <row r="50" spans="1:19" s="4" customFormat="1" hidden="1" outlineLevel="2">
      <c r="A50" s="26" t="s">
        <v>136</v>
      </c>
      <c r="B50" s="36">
        <v>2100</v>
      </c>
      <c r="C50" s="112">
        <v>200101</v>
      </c>
      <c r="D50" s="11" t="s">
        <v>184</v>
      </c>
      <c r="E50" s="26"/>
      <c r="F50" s="227">
        <v>77000</v>
      </c>
      <c r="G50" s="247">
        <v>86408</v>
      </c>
      <c r="H50" s="118">
        <v>85000</v>
      </c>
      <c r="I50" s="118">
        <v>70411</v>
      </c>
      <c r="J50" s="118"/>
      <c r="K50" s="118">
        <f>I50+J50</f>
        <v>70411</v>
      </c>
      <c r="L50" s="339">
        <v>92000</v>
      </c>
      <c r="M50" s="73">
        <v>0</v>
      </c>
      <c r="N50" s="73"/>
      <c r="O50" s="118">
        <f>M50+N50</f>
        <v>0</v>
      </c>
      <c r="P50" s="219">
        <f>P12</f>
        <v>83589</v>
      </c>
      <c r="Q50" s="298">
        <f>Q12</f>
        <v>70000</v>
      </c>
      <c r="R50" s="298">
        <f>R12</f>
        <v>50000</v>
      </c>
    </row>
    <row r="51" spans="1:19" s="4" customFormat="1" hidden="1" outlineLevel="2">
      <c r="A51" s="26" t="s">
        <v>136</v>
      </c>
      <c r="B51" s="36">
        <v>2101</v>
      </c>
      <c r="C51" s="112">
        <v>200102</v>
      </c>
      <c r="D51" s="11" t="s">
        <v>150</v>
      </c>
      <c r="E51" s="26"/>
      <c r="F51" s="229">
        <v>59000</v>
      </c>
      <c r="G51" s="249">
        <v>59000</v>
      </c>
      <c r="H51" s="178">
        <v>58500</v>
      </c>
      <c r="I51" s="178">
        <v>58500</v>
      </c>
      <c r="J51" s="178">
        <v>0</v>
      </c>
      <c r="K51" s="178">
        <f>I51+J51</f>
        <v>58500</v>
      </c>
      <c r="L51" s="420">
        <v>0</v>
      </c>
      <c r="M51" s="178">
        <v>0</v>
      </c>
      <c r="N51" s="178">
        <v>0</v>
      </c>
      <c r="O51" s="178">
        <f>M51+N51</f>
        <v>0</v>
      </c>
      <c r="P51" s="296">
        <v>0</v>
      </c>
      <c r="Q51" s="296">
        <v>0</v>
      </c>
      <c r="R51" s="296">
        <v>0</v>
      </c>
    </row>
    <row r="52" spans="1:19" s="4" customFormat="1" hidden="1" outlineLevel="2">
      <c r="A52" s="26" t="s">
        <v>2</v>
      </c>
      <c r="B52" s="36">
        <v>2109</v>
      </c>
      <c r="C52" s="112">
        <v>200199</v>
      </c>
      <c r="D52" s="10" t="s">
        <v>151</v>
      </c>
      <c r="E52" s="26"/>
      <c r="F52" s="226">
        <f t="shared" ref="F52" si="45">SUM(F50:F51)</f>
        <v>136000</v>
      </c>
      <c r="G52" s="245">
        <f t="shared" ref="G52" si="46">SUM(G50:G51)</f>
        <v>145408</v>
      </c>
      <c r="H52" s="179">
        <f t="shared" ref="H52:N52" si="47">SUM(H50:H51)</f>
        <v>143500</v>
      </c>
      <c r="I52" s="179">
        <f t="shared" si="47"/>
        <v>128911</v>
      </c>
      <c r="J52" s="179">
        <f t="shared" si="47"/>
        <v>0</v>
      </c>
      <c r="K52" s="179">
        <f t="shared" si="47"/>
        <v>128911</v>
      </c>
      <c r="L52" s="419">
        <f>SUM(L50:L51)</f>
        <v>92000</v>
      </c>
      <c r="M52" s="179">
        <f t="shared" si="47"/>
        <v>0</v>
      </c>
      <c r="N52" s="179">
        <f t="shared" si="47"/>
        <v>0</v>
      </c>
      <c r="O52" s="179">
        <f t="shared" ref="O52" si="48">SUM(O50:O51)</f>
        <v>0</v>
      </c>
      <c r="P52" s="220">
        <f t="shared" ref="P52:Q52" si="49">SUM(P50:P51)</f>
        <v>83589</v>
      </c>
      <c r="Q52" s="220">
        <f t="shared" si="49"/>
        <v>70000</v>
      </c>
      <c r="R52" s="220">
        <f t="shared" ref="R52" si="50">SUM(R50:R51)</f>
        <v>50000</v>
      </c>
    </row>
    <row r="53" spans="1:19" s="4" customFormat="1" ht="9" hidden="1" customHeight="1" outlineLevel="1">
      <c r="A53" s="26"/>
      <c r="B53" s="46"/>
      <c r="C53" s="112"/>
      <c r="D53" s="10"/>
      <c r="E53" s="26"/>
      <c r="F53" s="220"/>
      <c r="G53" s="251"/>
      <c r="H53" s="179"/>
      <c r="I53" s="62"/>
      <c r="J53" s="62"/>
      <c r="K53" s="62"/>
      <c r="L53" s="419"/>
      <c r="M53" s="179"/>
      <c r="N53" s="179"/>
      <c r="O53" s="179"/>
      <c r="P53" s="220"/>
      <c r="Q53" s="220"/>
      <c r="R53" s="220"/>
    </row>
    <row r="54" spans="1:19" s="4" customFormat="1" hidden="1" outlineLevel="1" collapsed="1">
      <c r="A54" s="26" t="s">
        <v>0</v>
      </c>
      <c r="B54" s="33"/>
      <c r="C54" s="112">
        <v>200200</v>
      </c>
      <c r="D54" s="10" t="s">
        <v>160</v>
      </c>
      <c r="E54" s="344"/>
      <c r="F54" s="219"/>
      <c r="G54" s="246"/>
      <c r="H54" s="118">
        <f t="shared" ref="H54:R54" si="51">H69</f>
        <v>81500</v>
      </c>
      <c r="I54" s="118">
        <f t="shared" si="51"/>
        <v>106902</v>
      </c>
      <c r="J54" s="118">
        <f t="shared" si="51"/>
        <v>0</v>
      </c>
      <c r="K54" s="118">
        <f t="shared" si="51"/>
        <v>106902</v>
      </c>
      <c r="L54" s="416">
        <f t="shared" si="51"/>
        <v>83050</v>
      </c>
      <c r="M54" s="358">
        <f>M69</f>
        <v>79002.3</v>
      </c>
      <c r="N54" s="358">
        <f>N69</f>
        <v>0</v>
      </c>
      <c r="O54" s="118">
        <f t="shared" ref="O54" si="52">O69</f>
        <v>79002.3</v>
      </c>
      <c r="P54" s="332">
        <f t="shared" si="51"/>
        <v>58650</v>
      </c>
      <c r="Q54" s="332">
        <f t="shared" si="51"/>
        <v>50150</v>
      </c>
      <c r="R54" s="332">
        <f t="shared" si="51"/>
        <v>50650</v>
      </c>
    </row>
    <row r="55" spans="1:19" s="4" customFormat="1" hidden="1" outlineLevel="2">
      <c r="A55" s="26" t="s">
        <v>136</v>
      </c>
      <c r="B55" s="33">
        <v>2001</v>
      </c>
      <c r="C55" s="90">
        <v>200201</v>
      </c>
      <c r="D55" s="11" t="s">
        <v>145</v>
      </c>
      <c r="E55" s="26"/>
      <c r="F55" s="227">
        <v>30450</v>
      </c>
      <c r="G55" s="247">
        <v>34982</v>
      </c>
      <c r="H55" s="118">
        <v>37000</v>
      </c>
      <c r="I55" s="118">
        <v>34250</v>
      </c>
      <c r="J55" s="118"/>
      <c r="K55" s="118">
        <f t="shared" ref="K55:K66" si="53">I55+J55</f>
        <v>34250</v>
      </c>
      <c r="L55" s="339">
        <v>35000</v>
      </c>
      <c r="M55" s="118">
        <v>34797.29</v>
      </c>
      <c r="N55" s="118"/>
      <c r="O55" s="118">
        <f t="shared" ref="O55:O66" si="54">M55+N55</f>
        <v>34797.29</v>
      </c>
      <c r="P55" s="219">
        <v>10000</v>
      </c>
      <c r="Q55" s="219">
        <v>0</v>
      </c>
      <c r="R55" s="219">
        <v>0</v>
      </c>
    </row>
    <row r="56" spans="1:19" s="4" customFormat="1" hidden="1" outlineLevel="2">
      <c r="A56" s="26" t="s">
        <v>136</v>
      </c>
      <c r="B56" s="33">
        <v>2000</v>
      </c>
      <c r="C56" s="90">
        <v>200211</v>
      </c>
      <c r="D56" s="11" t="s">
        <v>124</v>
      </c>
      <c r="E56" s="26"/>
      <c r="F56" s="227">
        <v>2400</v>
      </c>
      <c r="G56" s="247">
        <v>2341</v>
      </c>
      <c r="H56" s="118">
        <v>2400</v>
      </c>
      <c r="I56" s="118">
        <v>2392</v>
      </c>
      <c r="J56" s="118">
        <v>0</v>
      </c>
      <c r="K56" s="118">
        <f t="shared" si="53"/>
        <v>2392</v>
      </c>
      <c r="L56" s="339">
        <v>0</v>
      </c>
      <c r="M56" s="118">
        <v>0</v>
      </c>
      <c r="N56" s="118"/>
      <c r="O56" s="118">
        <f t="shared" si="54"/>
        <v>0</v>
      </c>
      <c r="P56" s="219">
        <v>0</v>
      </c>
      <c r="Q56" s="219">
        <v>0</v>
      </c>
      <c r="R56" s="219">
        <v>0</v>
      </c>
    </row>
    <row r="57" spans="1:19" s="4" customFormat="1" hidden="1" outlineLevel="2">
      <c r="A57" s="26" t="s">
        <v>136</v>
      </c>
      <c r="B57" s="33">
        <v>2010</v>
      </c>
      <c r="C57" s="90">
        <v>200212</v>
      </c>
      <c r="D57" s="11" t="s">
        <v>25</v>
      </c>
      <c r="E57" s="44"/>
      <c r="F57" s="227">
        <v>3000</v>
      </c>
      <c r="G57" s="247">
        <v>7269</v>
      </c>
      <c r="H57" s="118">
        <v>8000</v>
      </c>
      <c r="I57" s="118">
        <v>5892</v>
      </c>
      <c r="J57" s="118">
        <v>0</v>
      </c>
      <c r="K57" s="118">
        <f t="shared" si="53"/>
        <v>5892</v>
      </c>
      <c r="L57" s="339">
        <v>4800</v>
      </c>
      <c r="M57" s="118">
        <v>2900</v>
      </c>
      <c r="N57" s="118"/>
      <c r="O57" s="118">
        <f t="shared" si="54"/>
        <v>2900</v>
      </c>
      <c r="P57" s="219">
        <v>4800</v>
      </c>
      <c r="Q57" s="219">
        <v>4800</v>
      </c>
      <c r="R57" s="219">
        <v>4800</v>
      </c>
    </row>
    <row r="58" spans="1:19" s="4" customFormat="1" hidden="1" outlineLevel="2">
      <c r="A58" s="26" t="s">
        <v>136</v>
      </c>
      <c r="B58" s="33">
        <v>2011</v>
      </c>
      <c r="C58" s="90">
        <v>200213</v>
      </c>
      <c r="D58" s="11" t="s">
        <v>10</v>
      </c>
      <c r="E58" s="26"/>
      <c r="F58" s="227">
        <v>3000</v>
      </c>
      <c r="G58" s="247">
        <v>3133</v>
      </c>
      <c r="H58" s="118">
        <v>3300</v>
      </c>
      <c r="I58" s="118">
        <v>4537</v>
      </c>
      <c r="J58" s="118">
        <v>0</v>
      </c>
      <c r="K58" s="118">
        <f t="shared" si="53"/>
        <v>4537</v>
      </c>
      <c r="L58" s="339">
        <v>5000</v>
      </c>
      <c r="M58" s="118">
        <v>163.9</v>
      </c>
      <c r="N58" s="118"/>
      <c r="O58" s="118">
        <f t="shared" si="54"/>
        <v>163.9</v>
      </c>
      <c r="P58" s="219">
        <v>5500</v>
      </c>
      <c r="Q58" s="219">
        <v>5500</v>
      </c>
      <c r="R58" s="219">
        <v>6000</v>
      </c>
    </row>
    <row r="59" spans="1:19" s="4" customFormat="1" hidden="1" outlineLevel="2">
      <c r="A59" s="26" t="s">
        <v>136</v>
      </c>
      <c r="B59" s="33">
        <v>2013</v>
      </c>
      <c r="C59" s="90">
        <v>200214</v>
      </c>
      <c r="D59" s="11" t="s">
        <v>84</v>
      </c>
      <c r="E59" s="26"/>
      <c r="F59" s="227">
        <v>1200</v>
      </c>
      <c r="G59" s="247">
        <v>412</v>
      </c>
      <c r="H59" s="118">
        <v>500</v>
      </c>
      <c r="I59" s="118">
        <v>410</v>
      </c>
      <c r="J59" s="118">
        <v>0</v>
      </c>
      <c r="K59" s="118">
        <f t="shared" si="53"/>
        <v>410</v>
      </c>
      <c r="L59" s="339">
        <v>500</v>
      </c>
      <c r="M59" s="118">
        <v>696.06</v>
      </c>
      <c r="N59" s="118"/>
      <c r="O59" s="118">
        <f t="shared" si="54"/>
        <v>696.06</v>
      </c>
      <c r="P59" s="219">
        <v>500</v>
      </c>
      <c r="Q59" s="219">
        <v>500</v>
      </c>
      <c r="R59" s="219">
        <v>500</v>
      </c>
    </row>
    <row r="60" spans="1:19" s="4" customFormat="1" hidden="1" outlineLevel="2">
      <c r="A60" s="26" t="s">
        <v>136</v>
      </c>
      <c r="B60" s="33">
        <v>2014</v>
      </c>
      <c r="C60" s="90">
        <v>200215</v>
      </c>
      <c r="D60" s="11" t="s">
        <v>26</v>
      </c>
      <c r="E60" s="26"/>
      <c r="F60" s="227">
        <v>500</v>
      </c>
      <c r="G60" s="248">
        <v>4081</v>
      </c>
      <c r="H60" s="118">
        <v>2000</v>
      </c>
      <c r="I60" s="118">
        <v>2600</v>
      </c>
      <c r="J60" s="118">
        <v>0</v>
      </c>
      <c r="K60" s="118">
        <f t="shared" si="53"/>
        <v>2600</v>
      </c>
      <c r="L60" s="339">
        <v>2500</v>
      </c>
      <c r="M60" s="118">
        <v>2448.85</v>
      </c>
      <c r="N60" s="118"/>
      <c r="O60" s="118">
        <f t="shared" si="54"/>
        <v>2448.85</v>
      </c>
      <c r="P60" s="219">
        <v>2500</v>
      </c>
      <c r="Q60" s="219">
        <v>2500</v>
      </c>
      <c r="R60" s="219">
        <v>2500</v>
      </c>
    </row>
    <row r="61" spans="1:19" s="4" customFormat="1" hidden="1" outlineLevel="2">
      <c r="A61" s="26" t="s">
        <v>136</v>
      </c>
      <c r="B61" s="33">
        <v>2020</v>
      </c>
      <c r="C61" s="90">
        <v>200220</v>
      </c>
      <c r="D61" s="11" t="s">
        <v>207</v>
      </c>
      <c r="E61" s="88"/>
      <c r="F61" s="227">
        <v>2000</v>
      </c>
      <c r="G61" s="247">
        <v>7039</v>
      </c>
      <c r="H61" s="118">
        <v>2000</v>
      </c>
      <c r="I61" s="118">
        <v>24239</v>
      </c>
      <c r="J61" s="73">
        <v>0</v>
      </c>
      <c r="K61" s="118">
        <f t="shared" si="53"/>
        <v>24239</v>
      </c>
      <c r="L61" s="339">
        <v>4000</v>
      </c>
      <c r="M61" s="118">
        <v>8511.65</v>
      </c>
      <c r="N61" s="118"/>
      <c r="O61" s="118">
        <f t="shared" si="54"/>
        <v>8511.65</v>
      </c>
      <c r="P61" s="219">
        <v>4000</v>
      </c>
      <c r="Q61" s="219">
        <v>4000</v>
      </c>
      <c r="R61" s="219">
        <v>4000</v>
      </c>
    </row>
    <row r="62" spans="1:19" s="4" customFormat="1" hidden="1" outlineLevel="2">
      <c r="A62" s="26" t="s">
        <v>136</v>
      </c>
      <c r="B62" s="33">
        <v>2021</v>
      </c>
      <c r="C62" s="90">
        <v>200221</v>
      </c>
      <c r="D62" s="11" t="s">
        <v>27</v>
      </c>
      <c r="E62" s="26"/>
      <c r="F62" s="227">
        <v>1500</v>
      </c>
      <c r="G62" s="247">
        <v>2328</v>
      </c>
      <c r="H62" s="118">
        <v>2500</v>
      </c>
      <c r="I62" s="118">
        <v>5412</v>
      </c>
      <c r="J62" s="118">
        <v>0</v>
      </c>
      <c r="K62" s="118">
        <f t="shared" si="53"/>
        <v>5412</v>
      </c>
      <c r="L62" s="339">
        <v>5500</v>
      </c>
      <c r="M62" s="118">
        <v>543</v>
      </c>
      <c r="N62" s="118"/>
      <c r="O62" s="118">
        <f t="shared" si="54"/>
        <v>543</v>
      </c>
      <c r="P62" s="219">
        <v>5500</v>
      </c>
      <c r="Q62" s="219">
        <v>6000</v>
      </c>
      <c r="R62" s="219">
        <v>6000</v>
      </c>
    </row>
    <row r="63" spans="1:19" s="4" customFormat="1" hidden="1" outlineLevel="2">
      <c r="A63" s="26" t="s">
        <v>136</v>
      </c>
      <c r="B63" s="33">
        <v>2030</v>
      </c>
      <c r="C63" s="90">
        <v>200230</v>
      </c>
      <c r="D63" s="11" t="s">
        <v>11</v>
      </c>
      <c r="E63" s="90"/>
      <c r="F63" s="228">
        <v>11000</v>
      </c>
      <c r="G63" s="248">
        <v>16382</v>
      </c>
      <c r="H63" s="73">
        <v>16500</v>
      </c>
      <c r="I63" s="118">
        <v>19134</v>
      </c>
      <c r="J63" s="118">
        <v>0</v>
      </c>
      <c r="K63" s="118">
        <f t="shared" si="53"/>
        <v>19134</v>
      </c>
      <c r="L63" s="339">
        <v>20000</v>
      </c>
      <c r="M63" s="118">
        <v>19904.39</v>
      </c>
      <c r="N63" s="118"/>
      <c r="O63" s="118">
        <f t="shared" si="54"/>
        <v>19904.39</v>
      </c>
      <c r="P63" s="219">
        <v>20000</v>
      </c>
      <c r="Q63" s="219">
        <v>21000</v>
      </c>
      <c r="R63" s="219">
        <v>21000</v>
      </c>
    </row>
    <row r="64" spans="1:19" s="4" customFormat="1" hidden="1" outlineLevel="2">
      <c r="A64" s="26" t="s">
        <v>136</v>
      </c>
      <c r="B64" s="33">
        <v>2050</v>
      </c>
      <c r="C64" s="90">
        <v>200250</v>
      </c>
      <c r="D64" s="11" t="s">
        <v>28</v>
      </c>
      <c r="E64" s="26"/>
      <c r="F64" s="227">
        <v>2800</v>
      </c>
      <c r="G64" s="248">
        <v>889</v>
      </c>
      <c r="H64" s="118">
        <v>1000</v>
      </c>
      <c r="I64" s="118">
        <v>2813</v>
      </c>
      <c r="J64" s="118">
        <v>0</v>
      </c>
      <c r="K64" s="118">
        <f t="shared" si="53"/>
        <v>2813</v>
      </c>
      <c r="L64" s="339">
        <v>3000</v>
      </c>
      <c r="M64" s="118">
        <v>6340.36</v>
      </c>
      <c r="N64" s="118"/>
      <c r="O64" s="118">
        <f t="shared" si="54"/>
        <v>6340.36</v>
      </c>
      <c r="P64" s="219">
        <v>3000</v>
      </c>
      <c r="Q64" s="219">
        <v>3000</v>
      </c>
      <c r="R64" s="219">
        <v>3000</v>
      </c>
    </row>
    <row r="65" spans="1:19" s="4" customFormat="1" hidden="1" outlineLevel="2">
      <c r="A65" s="26" t="s">
        <v>136</v>
      </c>
      <c r="B65" s="33">
        <v>2070</v>
      </c>
      <c r="C65" s="90">
        <v>200270</v>
      </c>
      <c r="D65" s="11" t="s">
        <v>83</v>
      </c>
      <c r="E65" s="26"/>
      <c r="F65" s="227">
        <v>0</v>
      </c>
      <c r="G65" s="247">
        <v>0</v>
      </c>
      <c r="H65" s="118">
        <v>0</v>
      </c>
      <c r="I65" s="118">
        <v>0</v>
      </c>
      <c r="J65" s="118">
        <v>0</v>
      </c>
      <c r="K65" s="118">
        <f t="shared" si="53"/>
        <v>0</v>
      </c>
      <c r="L65" s="339">
        <v>0</v>
      </c>
      <c r="M65" s="118">
        <v>0</v>
      </c>
      <c r="N65" s="118"/>
      <c r="O65" s="118">
        <f t="shared" si="54"/>
        <v>0</v>
      </c>
      <c r="P65" s="219">
        <v>0</v>
      </c>
      <c r="Q65" s="219">
        <v>0</v>
      </c>
      <c r="R65" s="219">
        <v>0</v>
      </c>
    </row>
    <row r="66" spans="1:19" s="4" customFormat="1" hidden="1" outlineLevel="2">
      <c r="A66" s="26" t="s">
        <v>136</v>
      </c>
      <c r="B66" s="33">
        <v>2071</v>
      </c>
      <c r="C66" s="90">
        <v>200271</v>
      </c>
      <c r="D66" s="11" t="s">
        <v>208</v>
      </c>
      <c r="E66" s="333" t="s">
        <v>600</v>
      </c>
      <c r="F66" s="227">
        <v>5500</v>
      </c>
      <c r="G66" s="247">
        <v>5519</v>
      </c>
      <c r="H66" s="118">
        <v>5500</v>
      </c>
      <c r="I66" s="118">
        <v>4573</v>
      </c>
      <c r="J66" s="118">
        <v>0</v>
      </c>
      <c r="K66" s="118">
        <f t="shared" si="53"/>
        <v>4573</v>
      </c>
      <c r="L66" s="339">
        <v>2100</v>
      </c>
      <c r="M66" s="118">
        <v>2046.8</v>
      </c>
      <c r="N66" s="118"/>
      <c r="O66" s="118">
        <f t="shared" si="54"/>
        <v>2046.8</v>
      </c>
      <c r="P66" s="219">
        <v>2200</v>
      </c>
      <c r="Q66" s="219">
        <v>2200</v>
      </c>
      <c r="R66" s="219">
        <v>2200</v>
      </c>
    </row>
    <row r="67" spans="1:19" s="4" customFormat="1" hidden="1" outlineLevel="2">
      <c r="A67" s="26" t="s">
        <v>136</v>
      </c>
      <c r="B67" s="33">
        <v>2080</v>
      </c>
      <c r="C67" s="113" t="s">
        <v>209</v>
      </c>
      <c r="D67" s="164" t="s">
        <v>29</v>
      </c>
      <c r="E67" s="44"/>
      <c r="F67" s="227">
        <v>0</v>
      </c>
      <c r="G67" s="247">
        <v>0</v>
      </c>
      <c r="H67" s="118">
        <v>0</v>
      </c>
      <c r="I67" s="118"/>
      <c r="J67" s="118"/>
      <c r="K67" s="118"/>
      <c r="L67" s="339"/>
      <c r="M67" s="118"/>
      <c r="N67" s="118"/>
      <c r="O67" s="118"/>
      <c r="P67" s="219"/>
      <c r="Q67" s="219"/>
      <c r="R67" s="219"/>
    </row>
    <row r="68" spans="1:19" s="4" customFormat="1" hidden="1" outlineLevel="2">
      <c r="A68" s="26" t="s">
        <v>136</v>
      </c>
      <c r="B68" s="33">
        <v>2090</v>
      </c>
      <c r="C68" s="90">
        <v>200290</v>
      </c>
      <c r="D68" s="11" t="s">
        <v>13</v>
      </c>
      <c r="E68" s="133" t="s">
        <v>448</v>
      </c>
      <c r="F68" s="229">
        <v>650</v>
      </c>
      <c r="G68" s="249">
        <v>761</v>
      </c>
      <c r="H68" s="178">
        <v>800</v>
      </c>
      <c r="I68" s="178">
        <v>650</v>
      </c>
      <c r="J68" s="178">
        <v>0</v>
      </c>
      <c r="K68" s="178">
        <f>I68+J68</f>
        <v>650</v>
      </c>
      <c r="L68" s="420">
        <v>650</v>
      </c>
      <c r="M68" s="178">
        <v>650</v>
      </c>
      <c r="N68" s="178"/>
      <c r="O68" s="178">
        <f>M68+N68</f>
        <v>650</v>
      </c>
      <c r="P68" s="296">
        <v>650</v>
      </c>
      <c r="Q68" s="296">
        <v>650</v>
      </c>
      <c r="R68" s="296">
        <v>650</v>
      </c>
    </row>
    <row r="69" spans="1:19" s="4" customFormat="1" hidden="1" outlineLevel="2">
      <c r="A69" s="26" t="s">
        <v>2</v>
      </c>
      <c r="B69" s="36">
        <v>2099</v>
      </c>
      <c r="C69" s="112">
        <v>200299</v>
      </c>
      <c r="D69" s="10" t="s">
        <v>6</v>
      </c>
      <c r="E69" s="26"/>
      <c r="F69" s="226">
        <f t="shared" ref="F69:G69" si="55">SUM(F55:F68)</f>
        <v>64000</v>
      </c>
      <c r="G69" s="245">
        <f t="shared" si="55"/>
        <v>85136</v>
      </c>
      <c r="H69" s="179">
        <f t="shared" ref="H69:J69" si="56">SUM(H55:H68)</f>
        <v>81500</v>
      </c>
      <c r="I69" s="179">
        <f t="shared" si="56"/>
        <v>106902</v>
      </c>
      <c r="J69" s="179">
        <f t="shared" si="56"/>
        <v>0</v>
      </c>
      <c r="K69" s="179">
        <f>I69+J69</f>
        <v>106902</v>
      </c>
      <c r="L69" s="419">
        <f>SUM(L55:L68)</f>
        <v>83050</v>
      </c>
      <c r="M69" s="179">
        <f t="shared" ref="M69:N69" si="57">SUM(M55:M68)</f>
        <v>79002.3</v>
      </c>
      <c r="N69" s="179">
        <f t="shared" si="57"/>
        <v>0</v>
      </c>
      <c r="O69" s="179">
        <f>M69+N69</f>
        <v>79002.3</v>
      </c>
      <c r="P69" s="220">
        <f>SUM(P55:P68)</f>
        <v>58650</v>
      </c>
      <c r="Q69" s="220">
        <f>SUM(Q55:Q68)</f>
        <v>50150</v>
      </c>
      <c r="R69" s="220">
        <f>SUM(R55:R68)</f>
        <v>50650</v>
      </c>
    </row>
    <row r="70" spans="1:19" s="4" customFormat="1" ht="9" hidden="1" customHeight="1" outlineLevel="1">
      <c r="A70" s="42"/>
      <c r="B70" s="33"/>
      <c r="C70" s="112"/>
      <c r="D70" s="11"/>
      <c r="E70" s="26"/>
      <c r="F70" s="227"/>
      <c r="G70" s="247"/>
      <c r="H70" s="118"/>
      <c r="I70" s="62"/>
      <c r="J70" s="62"/>
      <c r="K70" s="179"/>
      <c r="L70" s="419"/>
      <c r="M70" s="179"/>
      <c r="N70" s="179"/>
      <c r="O70" s="179"/>
      <c r="P70" s="220"/>
      <c r="Q70" s="220"/>
      <c r="R70" s="220"/>
    </row>
    <row r="71" spans="1:19" s="4" customFormat="1" hidden="1" outlineLevel="1" collapsed="1">
      <c r="A71" s="26" t="s">
        <v>0</v>
      </c>
      <c r="B71" s="33"/>
      <c r="C71" s="112">
        <v>200300</v>
      </c>
      <c r="D71" s="10" t="s">
        <v>154</v>
      </c>
      <c r="E71" s="344"/>
      <c r="F71" s="227"/>
      <c r="G71" s="247"/>
      <c r="H71" s="118">
        <f t="shared" ref="H71:R71" si="58">H75</f>
        <v>5050</v>
      </c>
      <c r="I71" s="118">
        <f t="shared" si="58"/>
        <v>5039</v>
      </c>
      <c r="J71" s="118">
        <f t="shared" si="58"/>
        <v>0</v>
      </c>
      <c r="K71" s="118">
        <f t="shared" si="58"/>
        <v>5039</v>
      </c>
      <c r="L71" s="416">
        <f t="shared" si="58"/>
        <v>5050</v>
      </c>
      <c r="M71" s="358">
        <f>M75</f>
        <v>5046.37</v>
      </c>
      <c r="N71" s="358">
        <f>N75</f>
        <v>0</v>
      </c>
      <c r="O71" s="118">
        <f t="shared" ref="O71" si="59">O75</f>
        <v>5046.37</v>
      </c>
      <c r="P71" s="332">
        <f t="shared" si="58"/>
        <v>5050</v>
      </c>
      <c r="Q71" s="332">
        <f t="shared" si="58"/>
        <v>5050</v>
      </c>
      <c r="R71" s="332">
        <f t="shared" si="58"/>
        <v>5050</v>
      </c>
    </row>
    <row r="72" spans="1:19" s="4" customFormat="1" hidden="1" outlineLevel="2">
      <c r="A72" s="26" t="s">
        <v>136</v>
      </c>
      <c r="B72" s="33">
        <v>2012</v>
      </c>
      <c r="C72" s="90">
        <v>200301</v>
      </c>
      <c r="D72" s="11" t="s">
        <v>210</v>
      </c>
      <c r="E72" s="26"/>
      <c r="F72" s="227">
        <v>10</v>
      </c>
      <c r="G72" s="247">
        <v>10</v>
      </c>
      <c r="H72" s="118">
        <v>10</v>
      </c>
      <c r="I72" s="118">
        <v>10</v>
      </c>
      <c r="J72" s="118">
        <v>0</v>
      </c>
      <c r="K72" s="118">
        <f>I72+J72</f>
        <v>10</v>
      </c>
      <c r="L72" s="339">
        <v>10</v>
      </c>
      <c r="M72" s="118">
        <v>10</v>
      </c>
      <c r="N72" s="118">
        <v>0</v>
      </c>
      <c r="O72" s="118">
        <f>M72+N72</f>
        <v>10</v>
      </c>
      <c r="P72" s="219">
        <v>10</v>
      </c>
      <c r="Q72" s="219">
        <v>10</v>
      </c>
      <c r="R72" s="219">
        <v>10</v>
      </c>
    </row>
    <row r="73" spans="1:19" s="4" customFormat="1" hidden="1" outlineLevel="2">
      <c r="A73" s="26" t="s">
        <v>136</v>
      </c>
      <c r="B73" s="36">
        <v>2022</v>
      </c>
      <c r="C73" s="90">
        <v>200301</v>
      </c>
      <c r="D73" s="11" t="s">
        <v>211</v>
      </c>
      <c r="E73" s="26"/>
      <c r="F73" s="227">
        <v>2850</v>
      </c>
      <c r="G73" s="247">
        <v>2803</v>
      </c>
      <c r="H73" s="118">
        <v>2800</v>
      </c>
      <c r="I73" s="118">
        <v>2794</v>
      </c>
      <c r="J73" s="118">
        <v>0</v>
      </c>
      <c r="K73" s="118">
        <f>I73+J73</f>
        <v>2794</v>
      </c>
      <c r="L73" s="339">
        <v>2800</v>
      </c>
      <c r="M73" s="118">
        <v>2797.5</v>
      </c>
      <c r="N73" s="118">
        <v>0</v>
      </c>
      <c r="O73" s="118">
        <f>M73+N73</f>
        <v>2797.5</v>
      </c>
      <c r="P73" s="219">
        <v>2800</v>
      </c>
      <c r="Q73" s="219">
        <v>2800</v>
      </c>
      <c r="R73" s="219">
        <v>2800</v>
      </c>
    </row>
    <row r="74" spans="1:19" s="4" customFormat="1" hidden="1" outlineLevel="2">
      <c r="A74" s="26" t="s">
        <v>136</v>
      </c>
      <c r="B74" s="36">
        <v>2023</v>
      </c>
      <c r="C74" s="90">
        <v>200303</v>
      </c>
      <c r="D74" s="11" t="s">
        <v>212</v>
      </c>
      <c r="E74" s="31"/>
      <c r="F74" s="229">
        <f>375*7.55</f>
        <v>2831.25</v>
      </c>
      <c r="G74" s="249">
        <v>2242</v>
      </c>
      <c r="H74" s="178">
        <v>2240</v>
      </c>
      <c r="I74" s="178">
        <v>2235</v>
      </c>
      <c r="J74" s="178">
        <v>0</v>
      </c>
      <c r="K74" s="178">
        <f>I74+J74</f>
        <v>2235</v>
      </c>
      <c r="L74" s="420">
        <v>2240</v>
      </c>
      <c r="M74" s="178">
        <v>2238.87</v>
      </c>
      <c r="N74" s="178">
        <v>0</v>
      </c>
      <c r="O74" s="178">
        <f>M74+N74</f>
        <v>2238.87</v>
      </c>
      <c r="P74" s="296">
        <v>2240</v>
      </c>
      <c r="Q74" s="296">
        <v>2240</v>
      </c>
      <c r="R74" s="296">
        <v>2240</v>
      </c>
    </row>
    <row r="75" spans="1:19" s="4" customFormat="1" hidden="1" outlineLevel="2">
      <c r="A75" s="26" t="s">
        <v>2</v>
      </c>
      <c r="B75" s="36">
        <v>2029</v>
      </c>
      <c r="C75" s="112">
        <v>200399</v>
      </c>
      <c r="D75" s="10" t="s">
        <v>12</v>
      </c>
      <c r="E75" s="26"/>
      <c r="F75" s="226">
        <f t="shared" ref="F75:G75" si="60">SUM(F72:F74)</f>
        <v>5691.25</v>
      </c>
      <c r="G75" s="245">
        <f t="shared" si="60"/>
        <v>5055</v>
      </c>
      <c r="H75" s="179">
        <f t="shared" ref="H75:N75" si="61">SUM(H72:H74)</f>
        <v>5050</v>
      </c>
      <c r="I75" s="179">
        <f t="shared" si="61"/>
        <v>5039</v>
      </c>
      <c r="J75" s="179">
        <f t="shared" si="61"/>
        <v>0</v>
      </c>
      <c r="K75" s="179">
        <f>I75+J75</f>
        <v>5039</v>
      </c>
      <c r="L75" s="419">
        <f t="shared" si="61"/>
        <v>5050</v>
      </c>
      <c r="M75" s="179">
        <f t="shared" si="61"/>
        <v>5046.37</v>
      </c>
      <c r="N75" s="179">
        <f t="shared" si="61"/>
        <v>0</v>
      </c>
      <c r="O75" s="179">
        <f>M75+N75</f>
        <v>5046.37</v>
      </c>
      <c r="P75" s="220">
        <f t="shared" ref="P75:Q75" si="62">SUM(P72:P74)</f>
        <v>5050</v>
      </c>
      <c r="Q75" s="220">
        <f t="shared" si="62"/>
        <v>5050</v>
      </c>
      <c r="R75" s="220">
        <f t="shared" ref="R75" si="63">SUM(R72:R74)</f>
        <v>5050</v>
      </c>
    </row>
    <row r="76" spans="1:19" s="4" customFormat="1" ht="9" hidden="1" customHeight="1" outlineLevel="1">
      <c r="A76" s="26"/>
      <c r="B76" s="35"/>
      <c r="C76" s="112"/>
      <c r="D76" s="10"/>
      <c r="E76" s="26"/>
      <c r="F76" s="226"/>
      <c r="G76" s="245"/>
      <c r="H76" s="179"/>
      <c r="I76" s="62"/>
      <c r="J76" s="62"/>
      <c r="K76" s="179"/>
      <c r="L76" s="419"/>
      <c r="M76" s="179"/>
      <c r="N76" s="179"/>
      <c r="O76" s="179"/>
      <c r="P76" s="220"/>
      <c r="Q76" s="220"/>
      <c r="R76" s="220"/>
    </row>
    <row r="77" spans="1:19" s="4" customFormat="1" hidden="1" outlineLevel="1">
      <c r="A77" s="26" t="s">
        <v>136</v>
      </c>
      <c r="B77" s="35"/>
      <c r="C77" s="112">
        <v>200500</v>
      </c>
      <c r="D77" s="11" t="s">
        <v>492</v>
      </c>
      <c r="E77" s="344"/>
      <c r="F77" s="227">
        <v>0</v>
      </c>
      <c r="G77" s="248">
        <v>50737</v>
      </c>
      <c r="H77" s="194">
        <v>-22000</v>
      </c>
      <c r="I77" s="118">
        <v>75830</v>
      </c>
      <c r="J77" s="73">
        <v>0</v>
      </c>
      <c r="K77" s="73">
        <f>I77+J77</f>
        <v>75830</v>
      </c>
      <c r="L77" s="341">
        <v>0</v>
      </c>
      <c r="M77" s="73"/>
      <c r="N77" s="73"/>
      <c r="O77" s="73">
        <f>M77+N77</f>
        <v>0</v>
      </c>
      <c r="P77" s="298">
        <v>0</v>
      </c>
      <c r="Q77" s="298">
        <v>0</v>
      </c>
      <c r="R77" s="298">
        <v>0</v>
      </c>
      <c r="S77" s="359"/>
    </row>
    <row r="78" spans="1:19" s="4" customFormat="1" ht="9" hidden="1" customHeight="1" outlineLevel="1">
      <c r="A78" s="26"/>
      <c r="B78" s="35"/>
      <c r="C78" s="112"/>
      <c r="D78" s="11"/>
      <c r="E78" s="26"/>
      <c r="F78" s="227"/>
      <c r="G78" s="248"/>
      <c r="H78" s="194"/>
      <c r="I78" s="118"/>
      <c r="J78" s="207"/>
      <c r="K78" s="118"/>
      <c r="L78" s="424"/>
      <c r="M78" s="207"/>
      <c r="N78" s="207"/>
      <c r="O78" s="207"/>
      <c r="P78" s="235"/>
      <c r="Q78" s="235"/>
      <c r="R78" s="235"/>
    </row>
    <row r="79" spans="1:19" s="4" customFormat="1" hidden="1" outlineLevel="1">
      <c r="A79" s="26" t="s">
        <v>2</v>
      </c>
      <c r="B79" s="33">
        <v>2999</v>
      </c>
      <c r="C79" s="112">
        <v>299999</v>
      </c>
      <c r="D79" s="10" t="s">
        <v>450</v>
      </c>
      <c r="E79" s="26"/>
      <c r="F79" s="226">
        <f t="shared" ref="F79:G79" si="64">F52+F69+F75+F77</f>
        <v>205691.25</v>
      </c>
      <c r="G79" s="245">
        <f t="shared" si="64"/>
        <v>286336</v>
      </c>
      <c r="H79" s="179">
        <f t="shared" ref="H79:J79" si="65">H52+H69+H75+H77</f>
        <v>208050</v>
      </c>
      <c r="I79" s="179">
        <f t="shared" si="65"/>
        <v>316682</v>
      </c>
      <c r="J79" s="179">
        <f t="shared" si="65"/>
        <v>0</v>
      </c>
      <c r="K79" s="179">
        <f>I79+J79</f>
        <v>316682</v>
      </c>
      <c r="L79" s="419">
        <f>L52+L69+L75+L77</f>
        <v>180100</v>
      </c>
      <c r="M79" s="179">
        <f t="shared" ref="M79:N79" si="66">M52+M69+M75+M77</f>
        <v>84048.67</v>
      </c>
      <c r="N79" s="179">
        <f t="shared" si="66"/>
        <v>0</v>
      </c>
      <c r="O79" s="179">
        <f>M79+N79</f>
        <v>84048.67</v>
      </c>
      <c r="P79" s="220">
        <f>P52+P69+P75+P77</f>
        <v>147289</v>
      </c>
      <c r="Q79" s="220">
        <f>Q52+Q69+Q75+Q77</f>
        <v>125200</v>
      </c>
      <c r="R79" s="220">
        <f>R52+R69+R75+R77</f>
        <v>105700</v>
      </c>
    </row>
    <row r="80" spans="1:19" collapsed="1">
      <c r="A80" s="26" t="s">
        <v>0</v>
      </c>
      <c r="B80" s="33"/>
      <c r="C80" s="112">
        <v>310000</v>
      </c>
      <c r="D80" s="51" t="s">
        <v>213</v>
      </c>
      <c r="E80" s="345"/>
      <c r="F80" s="227">
        <f t="shared" ref="F80" si="67">F110</f>
        <v>100000</v>
      </c>
      <c r="G80" s="247">
        <f t="shared" ref="G80" si="68">G110</f>
        <v>140689</v>
      </c>
      <c r="H80" s="118">
        <f t="shared" ref="H80:K80" si="69">H110</f>
        <v>167700</v>
      </c>
      <c r="I80" s="118">
        <f>I110</f>
        <v>106840</v>
      </c>
      <c r="J80" s="118">
        <f t="shared" si="69"/>
        <v>0</v>
      </c>
      <c r="K80" s="118">
        <f t="shared" si="69"/>
        <v>106840</v>
      </c>
      <c r="L80" s="339">
        <f>L110</f>
        <v>72470</v>
      </c>
      <c r="M80" s="118">
        <f>M110</f>
        <v>91173.7</v>
      </c>
      <c r="N80" s="118">
        <f t="shared" ref="N80:O80" si="70">N110</f>
        <v>0</v>
      </c>
      <c r="O80" s="118">
        <f t="shared" si="70"/>
        <v>91173.7</v>
      </c>
      <c r="P80" s="219">
        <f t="shared" ref="P80:Q80" si="71">P110</f>
        <v>94500</v>
      </c>
      <c r="Q80" s="219">
        <f t="shared" si="71"/>
        <v>95100</v>
      </c>
      <c r="R80" s="219">
        <f t="shared" ref="R80" si="72">R110</f>
        <v>95100</v>
      </c>
    </row>
    <row r="81" spans="1:18" hidden="1" outlineLevel="1" collapsed="1">
      <c r="A81" s="26" t="s">
        <v>0</v>
      </c>
      <c r="B81" s="33"/>
      <c r="C81" s="90">
        <v>310100</v>
      </c>
      <c r="D81" s="10" t="s">
        <v>51</v>
      </c>
      <c r="E81" s="344"/>
      <c r="F81" s="226">
        <f t="shared" ref="F81" si="73">F85</f>
        <v>22000</v>
      </c>
      <c r="G81" s="245">
        <f t="shared" ref="G81" si="74">G85</f>
        <v>16128</v>
      </c>
      <c r="H81" s="179">
        <f>H85</f>
        <v>19700</v>
      </c>
      <c r="I81" s="179">
        <f t="shared" ref="I81:O81" si="75">I85</f>
        <v>14898</v>
      </c>
      <c r="J81" s="179">
        <f t="shared" si="75"/>
        <v>0</v>
      </c>
      <c r="K81" s="179">
        <f t="shared" si="75"/>
        <v>14898</v>
      </c>
      <c r="L81" s="419">
        <f>L85</f>
        <v>15100</v>
      </c>
      <c r="M81" s="179">
        <f t="shared" si="75"/>
        <v>14753.83</v>
      </c>
      <c r="N81" s="179">
        <f t="shared" si="75"/>
        <v>0</v>
      </c>
      <c r="O81" s="179">
        <f t="shared" si="75"/>
        <v>14753.83</v>
      </c>
      <c r="P81" s="220">
        <f>P85</f>
        <v>16100</v>
      </c>
      <c r="Q81" s="220">
        <f>Q85</f>
        <v>16700</v>
      </c>
      <c r="R81" s="220">
        <f>R85</f>
        <v>16700</v>
      </c>
    </row>
    <row r="82" spans="1:18" ht="15" hidden="1" customHeight="1" outlineLevel="2">
      <c r="A82" s="26" t="s">
        <v>136</v>
      </c>
      <c r="B82" s="33">
        <v>6001</v>
      </c>
      <c r="C82" s="90">
        <v>310101</v>
      </c>
      <c r="D82" s="11" t="s">
        <v>214</v>
      </c>
      <c r="F82" s="227">
        <v>2500</v>
      </c>
      <c r="G82" s="247">
        <v>2000</v>
      </c>
      <c r="H82" s="118">
        <v>2200</v>
      </c>
      <c r="I82" s="118">
        <v>2100</v>
      </c>
      <c r="J82" s="118">
        <v>0</v>
      </c>
      <c r="K82" s="118">
        <f>I82+J82</f>
        <v>2100</v>
      </c>
      <c r="L82" s="339">
        <v>2100</v>
      </c>
      <c r="M82" s="118">
        <v>900</v>
      </c>
      <c r="N82" s="118">
        <v>0</v>
      </c>
      <c r="O82" s="118">
        <f>M82+N82</f>
        <v>900</v>
      </c>
      <c r="P82" s="219">
        <v>2100</v>
      </c>
      <c r="Q82" s="219">
        <v>2200</v>
      </c>
      <c r="R82" s="219">
        <v>2200</v>
      </c>
    </row>
    <row r="83" spans="1:18" ht="15" hidden="1" customHeight="1" outlineLevel="2">
      <c r="A83" s="26" t="s">
        <v>136</v>
      </c>
      <c r="B83" s="33">
        <v>60011</v>
      </c>
      <c r="C83" s="90">
        <v>310102</v>
      </c>
      <c r="D83" s="11" t="s">
        <v>215</v>
      </c>
      <c r="F83" s="227">
        <v>11000</v>
      </c>
      <c r="G83" s="247">
        <v>9468</v>
      </c>
      <c r="H83" s="118">
        <v>12000</v>
      </c>
      <c r="I83" s="118">
        <v>7738</v>
      </c>
      <c r="J83" s="118">
        <v>0</v>
      </c>
      <c r="K83" s="118">
        <f>I83+J83</f>
        <v>7738</v>
      </c>
      <c r="L83" s="339">
        <v>8000</v>
      </c>
      <c r="M83" s="118">
        <v>8453.83</v>
      </c>
      <c r="N83" s="118"/>
      <c r="O83" s="118">
        <f>M83+N83</f>
        <v>8453.83</v>
      </c>
      <c r="P83" s="219">
        <v>9000</v>
      </c>
      <c r="Q83" s="219">
        <v>9000</v>
      </c>
      <c r="R83" s="219">
        <v>9000</v>
      </c>
    </row>
    <row r="84" spans="1:18" hidden="1" outlineLevel="2">
      <c r="A84" s="26" t="s">
        <v>136</v>
      </c>
      <c r="B84" s="33">
        <v>60012</v>
      </c>
      <c r="C84" s="90">
        <v>310103</v>
      </c>
      <c r="D84" s="11" t="s">
        <v>216</v>
      </c>
      <c r="F84" s="229">
        <v>8500</v>
      </c>
      <c r="G84" s="249">
        <v>4660</v>
      </c>
      <c r="H84" s="178">
        <v>5500</v>
      </c>
      <c r="I84" s="178">
        <v>5060</v>
      </c>
      <c r="J84" s="178">
        <v>0</v>
      </c>
      <c r="K84" s="178">
        <f>I84+J84</f>
        <v>5060</v>
      </c>
      <c r="L84" s="420">
        <v>5000</v>
      </c>
      <c r="M84" s="178">
        <v>5400</v>
      </c>
      <c r="N84" s="178">
        <v>0</v>
      </c>
      <c r="O84" s="178">
        <f>M84+N84</f>
        <v>5400</v>
      </c>
      <c r="P84" s="296">
        <v>5000</v>
      </c>
      <c r="Q84" s="296">
        <v>5500</v>
      </c>
      <c r="R84" s="296">
        <v>5500</v>
      </c>
    </row>
    <row r="85" spans="1:18" hidden="1" outlineLevel="2">
      <c r="A85" s="26" t="s">
        <v>2</v>
      </c>
      <c r="B85" s="34" t="s">
        <v>158</v>
      </c>
      <c r="C85" s="90">
        <v>310199</v>
      </c>
      <c r="D85" s="10" t="s">
        <v>53</v>
      </c>
      <c r="F85" s="226">
        <f t="shared" ref="F85" si="76">SUM(F82:F84)</f>
        <v>22000</v>
      </c>
      <c r="G85" s="245">
        <f t="shared" ref="G85" si="77">SUM(G82:G84)</f>
        <v>16128</v>
      </c>
      <c r="H85" s="179">
        <f t="shared" ref="H85:O85" si="78">SUM(H82:H84)</f>
        <v>19700</v>
      </c>
      <c r="I85" s="179">
        <f t="shared" si="78"/>
        <v>14898</v>
      </c>
      <c r="J85" s="179">
        <f t="shared" si="78"/>
        <v>0</v>
      </c>
      <c r="K85" s="179">
        <f t="shared" si="78"/>
        <v>14898</v>
      </c>
      <c r="L85" s="419">
        <f t="shared" ref="L85:P85" si="79">SUM(L82:L84)</f>
        <v>15100</v>
      </c>
      <c r="M85" s="179">
        <f t="shared" si="78"/>
        <v>14753.83</v>
      </c>
      <c r="N85" s="179">
        <f t="shared" si="78"/>
        <v>0</v>
      </c>
      <c r="O85" s="179">
        <f t="shared" si="78"/>
        <v>14753.83</v>
      </c>
      <c r="P85" s="220">
        <f t="shared" si="79"/>
        <v>16100</v>
      </c>
      <c r="Q85" s="220">
        <f t="shared" ref="Q85:R85" si="80">SUM(Q82:Q84)</f>
        <v>16700</v>
      </c>
      <c r="R85" s="220">
        <f t="shared" si="80"/>
        <v>16700</v>
      </c>
    </row>
    <row r="86" spans="1:18" ht="9" hidden="1" customHeight="1" outlineLevel="1">
      <c r="B86" s="33"/>
      <c r="F86" s="219"/>
      <c r="G86" s="247"/>
      <c r="H86" s="118"/>
      <c r="I86" s="5"/>
      <c r="J86" s="5"/>
      <c r="K86" s="118"/>
      <c r="L86" s="339"/>
      <c r="M86" s="118"/>
      <c r="N86" s="118"/>
      <c r="O86" s="118"/>
      <c r="P86" s="219"/>
      <c r="Q86" s="219"/>
      <c r="R86" s="219"/>
    </row>
    <row r="87" spans="1:18" hidden="1" outlineLevel="1" collapsed="1">
      <c r="A87" s="26" t="s">
        <v>0</v>
      </c>
      <c r="B87" s="33"/>
      <c r="C87" s="90">
        <v>310200</v>
      </c>
      <c r="D87" s="10" t="s">
        <v>52</v>
      </c>
      <c r="E87" s="344"/>
      <c r="F87" s="226">
        <f t="shared" ref="F87" si="81">F91</f>
        <v>32000</v>
      </c>
      <c r="G87" s="245">
        <f t="shared" ref="G87" si="82">G91</f>
        <v>33807</v>
      </c>
      <c r="H87" s="179">
        <f t="shared" ref="H87:O87" si="83">H91</f>
        <v>36000</v>
      </c>
      <c r="I87" s="179">
        <f t="shared" si="83"/>
        <v>33540</v>
      </c>
      <c r="J87" s="73">
        <f>J91</f>
        <v>0</v>
      </c>
      <c r="K87" s="179">
        <f t="shared" si="83"/>
        <v>33540</v>
      </c>
      <c r="L87" s="419">
        <f t="shared" si="83"/>
        <v>21800</v>
      </c>
      <c r="M87" s="179">
        <f t="shared" si="83"/>
        <v>20092.53</v>
      </c>
      <c r="N87" s="73">
        <f>N91</f>
        <v>0</v>
      </c>
      <c r="O87" s="179">
        <f t="shared" si="83"/>
        <v>20092.53</v>
      </c>
      <c r="P87" s="220">
        <f t="shared" ref="P87:Q87" si="84">P91</f>
        <v>21800</v>
      </c>
      <c r="Q87" s="220">
        <f t="shared" si="84"/>
        <v>21800</v>
      </c>
      <c r="R87" s="220">
        <f t="shared" ref="R87" si="85">R91</f>
        <v>21800</v>
      </c>
    </row>
    <row r="88" spans="1:18" hidden="1" outlineLevel="2">
      <c r="A88" s="26" t="s">
        <v>136</v>
      </c>
      <c r="B88" s="33">
        <v>6000</v>
      </c>
      <c r="C88" s="90">
        <v>310201</v>
      </c>
      <c r="D88" s="11" t="s">
        <v>217</v>
      </c>
      <c r="F88" s="227">
        <v>4000</v>
      </c>
      <c r="G88" s="247">
        <v>1200</v>
      </c>
      <c r="H88" s="118">
        <v>5500</v>
      </c>
      <c r="I88" s="118">
        <v>0</v>
      </c>
      <c r="J88" s="242">
        <v>0</v>
      </c>
      <c r="K88" s="118">
        <f>I88+J88</f>
        <v>0</v>
      </c>
      <c r="L88" s="339">
        <v>0</v>
      </c>
      <c r="M88" s="118">
        <v>0</v>
      </c>
      <c r="N88" s="118"/>
      <c r="O88" s="118">
        <f>M88+N88</f>
        <v>0</v>
      </c>
      <c r="P88" s="339">
        <v>0</v>
      </c>
      <c r="Q88" s="339">
        <v>0</v>
      </c>
      <c r="R88" s="219">
        <v>0</v>
      </c>
    </row>
    <row r="89" spans="1:18" hidden="1" outlineLevel="2">
      <c r="A89" s="26" t="s">
        <v>136</v>
      </c>
      <c r="B89" s="33">
        <v>60001</v>
      </c>
      <c r="C89" s="90">
        <v>310202</v>
      </c>
      <c r="D89" s="11" t="s">
        <v>218</v>
      </c>
      <c r="F89" s="227">
        <v>24000</v>
      </c>
      <c r="G89" s="248">
        <v>27212</v>
      </c>
      <c r="H89" s="118">
        <v>25500</v>
      </c>
      <c r="I89" s="118">
        <v>26427</v>
      </c>
      <c r="J89" s="118"/>
      <c r="K89" s="118">
        <f>I89+J89</f>
        <v>26427</v>
      </c>
      <c r="L89" s="339">
        <v>15000</v>
      </c>
      <c r="M89" s="118">
        <v>12152.53</v>
      </c>
      <c r="N89" s="118"/>
      <c r="O89" s="118">
        <f>M89+N89</f>
        <v>12152.53</v>
      </c>
      <c r="P89" s="219">
        <v>15000</v>
      </c>
      <c r="Q89" s="219">
        <v>15000</v>
      </c>
      <c r="R89" s="219">
        <v>15000</v>
      </c>
    </row>
    <row r="90" spans="1:18" hidden="1" outlineLevel="2">
      <c r="A90" s="26" t="s">
        <v>136</v>
      </c>
      <c r="B90" s="33">
        <v>60002</v>
      </c>
      <c r="C90" s="90">
        <v>310203</v>
      </c>
      <c r="D90" s="11" t="s">
        <v>219</v>
      </c>
      <c r="F90" s="229">
        <v>4000</v>
      </c>
      <c r="G90" s="252">
        <v>5395</v>
      </c>
      <c r="H90" s="178">
        <v>5000</v>
      </c>
      <c r="I90" s="178">
        <v>7113</v>
      </c>
      <c r="J90" s="178">
        <v>0</v>
      </c>
      <c r="K90" s="178">
        <f>I90+J90</f>
        <v>7113</v>
      </c>
      <c r="L90" s="420">
        <v>6800</v>
      </c>
      <c r="M90" s="178">
        <v>7940</v>
      </c>
      <c r="N90" s="178"/>
      <c r="O90" s="178">
        <f>M90+N90</f>
        <v>7940</v>
      </c>
      <c r="P90" s="296">
        <v>6800</v>
      </c>
      <c r="Q90" s="296">
        <v>6800</v>
      </c>
      <c r="R90" s="296">
        <v>6800</v>
      </c>
    </row>
    <row r="91" spans="1:18" hidden="1" outlineLevel="2">
      <c r="A91" s="26" t="s">
        <v>2</v>
      </c>
      <c r="B91" s="34" t="s">
        <v>158</v>
      </c>
      <c r="C91" s="90">
        <v>310299</v>
      </c>
      <c r="D91" s="10" t="s">
        <v>54</v>
      </c>
      <c r="F91" s="226">
        <f t="shared" ref="F91" si="86">SUM(F88:F90)</f>
        <v>32000</v>
      </c>
      <c r="G91" s="245">
        <f t="shared" ref="G91" si="87">SUM(G88:G90)</f>
        <v>33807</v>
      </c>
      <c r="H91" s="179">
        <f t="shared" ref="H91:N91" si="88">SUM(H88:H90)</f>
        <v>36000</v>
      </c>
      <c r="I91" s="179">
        <f t="shared" si="88"/>
        <v>33540</v>
      </c>
      <c r="J91" s="179">
        <f t="shared" si="88"/>
        <v>0</v>
      </c>
      <c r="K91" s="179">
        <f t="shared" si="88"/>
        <v>33540</v>
      </c>
      <c r="L91" s="419">
        <f t="shared" ref="L91:P91" si="89">SUM(L88:L90)</f>
        <v>21800</v>
      </c>
      <c r="M91" s="179">
        <f t="shared" si="88"/>
        <v>20092.53</v>
      </c>
      <c r="N91" s="179">
        <f t="shared" si="88"/>
        <v>0</v>
      </c>
      <c r="O91" s="179">
        <f t="shared" ref="O91" si="90">SUM(O88:O90)</f>
        <v>20092.53</v>
      </c>
      <c r="P91" s="220">
        <f t="shared" si="89"/>
        <v>21800</v>
      </c>
      <c r="Q91" s="220">
        <f t="shared" ref="Q91:R91" si="91">SUM(Q88:Q90)</f>
        <v>21800</v>
      </c>
      <c r="R91" s="220">
        <f t="shared" si="91"/>
        <v>21800</v>
      </c>
    </row>
    <row r="92" spans="1:18" ht="9" hidden="1" customHeight="1" outlineLevel="1">
      <c r="B92" s="33"/>
      <c r="E92" s="344"/>
      <c r="F92" s="219"/>
      <c r="G92" s="247"/>
      <c r="H92" s="118"/>
      <c r="I92" s="5"/>
      <c r="J92" s="5"/>
      <c r="K92" s="118"/>
      <c r="L92" s="339"/>
      <c r="M92" s="118"/>
      <c r="N92" s="118"/>
      <c r="O92" s="118"/>
      <c r="P92" s="219"/>
      <c r="Q92" s="219"/>
      <c r="R92" s="219"/>
    </row>
    <row r="93" spans="1:18" hidden="1" outlineLevel="1" collapsed="1">
      <c r="A93" s="26" t="s">
        <v>0</v>
      </c>
      <c r="B93" s="33" t="s">
        <v>85</v>
      </c>
      <c r="C93" s="90">
        <v>310300</v>
      </c>
      <c r="D93" s="10" t="s">
        <v>220</v>
      </c>
      <c r="E93" s="344"/>
      <c r="F93" s="226">
        <f t="shared" ref="F93" si="92">F97</f>
        <v>11000</v>
      </c>
      <c r="G93" s="245">
        <f t="shared" ref="G93" si="93">G97</f>
        <v>19671</v>
      </c>
      <c r="H93" s="179">
        <f t="shared" ref="H93:N93" si="94">H97</f>
        <v>14500</v>
      </c>
      <c r="I93" s="179">
        <f t="shared" si="94"/>
        <v>24852</v>
      </c>
      <c r="J93" s="179">
        <f t="shared" si="94"/>
        <v>0</v>
      </c>
      <c r="K93" s="179">
        <f>I93+J93</f>
        <v>24852</v>
      </c>
      <c r="L93" s="419">
        <f t="shared" si="94"/>
        <v>18070</v>
      </c>
      <c r="M93" s="179">
        <f t="shared" si="94"/>
        <v>14346.53</v>
      </c>
      <c r="N93" s="179">
        <f t="shared" si="94"/>
        <v>0</v>
      </c>
      <c r="O93" s="179">
        <f>M93+N93</f>
        <v>14346.53</v>
      </c>
      <c r="P93" s="220">
        <f t="shared" ref="P93:Q93" si="95">P97</f>
        <v>18100</v>
      </c>
      <c r="Q93" s="220">
        <f t="shared" si="95"/>
        <v>18100</v>
      </c>
      <c r="R93" s="220">
        <f t="shared" ref="R93" si="96">R97</f>
        <v>18100</v>
      </c>
    </row>
    <row r="94" spans="1:18" hidden="1" outlineLevel="2">
      <c r="A94" s="26" t="s">
        <v>136</v>
      </c>
      <c r="B94" s="33">
        <v>6002</v>
      </c>
      <c r="C94" s="90">
        <v>310301</v>
      </c>
      <c r="D94" s="11" t="s">
        <v>221</v>
      </c>
      <c r="F94" s="227">
        <v>1500</v>
      </c>
      <c r="G94" s="247">
        <v>2140</v>
      </c>
      <c r="H94" s="118">
        <v>1500</v>
      </c>
      <c r="I94" s="118">
        <v>0</v>
      </c>
      <c r="J94" s="118">
        <v>0</v>
      </c>
      <c r="K94" s="118">
        <f>I94+J94</f>
        <v>0</v>
      </c>
      <c r="L94" s="339">
        <v>1070</v>
      </c>
      <c r="M94" s="118">
        <v>2140</v>
      </c>
      <c r="N94" s="118"/>
      <c r="O94" s="118">
        <f>M94+N94</f>
        <v>2140</v>
      </c>
      <c r="P94" s="219">
        <v>1100</v>
      </c>
      <c r="Q94" s="219">
        <v>1100</v>
      </c>
      <c r="R94" s="219">
        <v>1100</v>
      </c>
    </row>
    <row r="95" spans="1:18" hidden="1" outlineLevel="2">
      <c r="A95" s="26" t="s">
        <v>136</v>
      </c>
      <c r="B95" s="33">
        <v>60021</v>
      </c>
      <c r="C95" s="90">
        <v>310302</v>
      </c>
      <c r="D95" s="11" t="s">
        <v>222</v>
      </c>
      <c r="F95" s="227">
        <v>9000</v>
      </c>
      <c r="G95" s="248">
        <v>14529</v>
      </c>
      <c r="H95" s="118">
        <v>12000</v>
      </c>
      <c r="I95" s="118">
        <v>22599</v>
      </c>
      <c r="J95" s="118">
        <v>0</v>
      </c>
      <c r="K95" s="118">
        <f>I95+J95</f>
        <v>22599</v>
      </c>
      <c r="L95" s="339">
        <v>15000</v>
      </c>
      <c r="M95" s="118">
        <v>10571.53</v>
      </c>
      <c r="N95" s="118"/>
      <c r="O95" s="118">
        <f>M95+N95</f>
        <v>10571.53</v>
      </c>
      <c r="P95" s="219">
        <v>15000</v>
      </c>
      <c r="Q95" s="219">
        <v>15000</v>
      </c>
      <c r="R95" s="219">
        <v>15000</v>
      </c>
    </row>
    <row r="96" spans="1:18" hidden="1" outlineLevel="2">
      <c r="A96" s="26" t="s">
        <v>136</v>
      </c>
      <c r="B96" s="33">
        <v>60022</v>
      </c>
      <c r="C96" s="90">
        <v>310303</v>
      </c>
      <c r="D96" s="11" t="s">
        <v>223</v>
      </c>
      <c r="F96" s="229">
        <v>500</v>
      </c>
      <c r="G96" s="249">
        <v>3002</v>
      </c>
      <c r="H96" s="178">
        <v>1000</v>
      </c>
      <c r="I96" s="178">
        <v>2253</v>
      </c>
      <c r="J96" s="178"/>
      <c r="K96" s="178">
        <f>I96+J96</f>
        <v>2253</v>
      </c>
      <c r="L96" s="420">
        <v>2000</v>
      </c>
      <c r="M96" s="178">
        <v>1635</v>
      </c>
      <c r="N96" s="178"/>
      <c r="O96" s="178">
        <f>M96+N96</f>
        <v>1635</v>
      </c>
      <c r="P96" s="296">
        <v>2000</v>
      </c>
      <c r="Q96" s="296">
        <v>2000</v>
      </c>
      <c r="R96" s="296">
        <v>2000</v>
      </c>
    </row>
    <row r="97" spans="1:18" hidden="1" outlineLevel="2">
      <c r="A97" s="26" t="s">
        <v>2</v>
      </c>
      <c r="B97" s="34" t="s">
        <v>158</v>
      </c>
      <c r="C97" s="112">
        <v>310399</v>
      </c>
      <c r="D97" s="10" t="s">
        <v>55</v>
      </c>
      <c r="F97" s="226">
        <f t="shared" ref="F97" si="97">SUM(F94:F96)</f>
        <v>11000</v>
      </c>
      <c r="G97" s="245">
        <f t="shared" ref="G97" si="98">SUM(G94:G96)</f>
        <v>19671</v>
      </c>
      <c r="H97" s="179">
        <f t="shared" ref="H97:J97" si="99">SUM(H94:H96)</f>
        <v>14500</v>
      </c>
      <c r="I97" s="179">
        <f t="shared" si="99"/>
        <v>24852</v>
      </c>
      <c r="J97" s="179">
        <f t="shared" si="99"/>
        <v>0</v>
      </c>
      <c r="K97" s="179">
        <f>I97+J97</f>
        <v>24852</v>
      </c>
      <c r="L97" s="419">
        <f t="shared" ref="L97:P97" si="100">SUM(L94:L96)</f>
        <v>18070</v>
      </c>
      <c r="M97" s="179">
        <f t="shared" si="100"/>
        <v>14346.53</v>
      </c>
      <c r="N97" s="179">
        <f t="shared" si="100"/>
        <v>0</v>
      </c>
      <c r="O97" s="179">
        <f>M97+N97</f>
        <v>14346.53</v>
      </c>
      <c r="P97" s="220">
        <f t="shared" si="100"/>
        <v>18100</v>
      </c>
      <c r="Q97" s="220">
        <f t="shared" ref="Q97:R97" si="101">SUM(Q94:Q96)</f>
        <v>18100</v>
      </c>
      <c r="R97" s="220">
        <f t="shared" si="101"/>
        <v>18100</v>
      </c>
    </row>
    <row r="98" spans="1:18" ht="9" hidden="1" customHeight="1" outlineLevel="1">
      <c r="B98" s="33"/>
      <c r="F98" s="219"/>
      <c r="G98" s="247"/>
      <c r="H98" s="118"/>
      <c r="I98" s="5"/>
      <c r="J98" s="5"/>
      <c r="K98" s="118"/>
      <c r="L98" s="339"/>
      <c r="M98" s="118"/>
      <c r="N98" s="118"/>
      <c r="O98" s="118"/>
      <c r="P98" s="219"/>
      <c r="Q98" s="219"/>
      <c r="R98" s="219"/>
    </row>
    <row r="99" spans="1:18" hidden="1" outlineLevel="1" collapsed="1">
      <c r="A99" s="26" t="s">
        <v>0</v>
      </c>
      <c r="B99" s="33"/>
      <c r="C99" s="112">
        <v>310400</v>
      </c>
      <c r="D99" s="10" t="s">
        <v>56</v>
      </c>
      <c r="E99" s="344"/>
      <c r="F99" s="226">
        <f t="shared" ref="F99" si="102">F105</f>
        <v>25000</v>
      </c>
      <c r="G99" s="245">
        <f t="shared" ref="G99" si="103">G105</f>
        <v>23220</v>
      </c>
      <c r="H99" s="179">
        <f t="shared" ref="H99:N99" si="104">H105</f>
        <v>22500</v>
      </c>
      <c r="I99" s="179">
        <f t="shared" si="104"/>
        <v>13370</v>
      </c>
      <c r="J99" s="179">
        <f t="shared" si="104"/>
        <v>0</v>
      </c>
      <c r="K99" s="179">
        <f t="shared" ref="K99:K105" si="105">I99+J99</f>
        <v>13370</v>
      </c>
      <c r="L99" s="419">
        <f t="shared" si="104"/>
        <v>13500</v>
      </c>
      <c r="M99" s="179">
        <f t="shared" si="104"/>
        <v>15680.87</v>
      </c>
      <c r="N99" s="179">
        <f t="shared" si="104"/>
        <v>0</v>
      </c>
      <c r="O99" s="179">
        <f t="shared" ref="O99:O104" si="106">M99+N99</f>
        <v>15680.87</v>
      </c>
      <c r="P99" s="220">
        <f t="shared" ref="P99:Q99" si="107">P105</f>
        <v>13500</v>
      </c>
      <c r="Q99" s="220">
        <f t="shared" si="107"/>
        <v>13500</v>
      </c>
      <c r="R99" s="220">
        <f t="shared" ref="R99" si="108">R105</f>
        <v>13500</v>
      </c>
    </row>
    <row r="100" spans="1:18" ht="15" hidden="1" customHeight="1" outlineLevel="2">
      <c r="A100" s="26" t="s">
        <v>136</v>
      </c>
      <c r="B100" s="33">
        <v>6502</v>
      </c>
      <c r="C100" s="90">
        <v>310401</v>
      </c>
      <c r="D100" s="11" t="s">
        <v>224</v>
      </c>
      <c r="F100" s="227">
        <v>6000</v>
      </c>
      <c r="G100" s="248">
        <v>4627</v>
      </c>
      <c r="H100" s="118">
        <v>4500</v>
      </c>
      <c r="I100" s="118">
        <v>2630</v>
      </c>
      <c r="J100" s="118">
        <v>0</v>
      </c>
      <c r="K100" s="118">
        <f t="shared" si="105"/>
        <v>2630</v>
      </c>
      <c r="L100" s="339">
        <v>2800</v>
      </c>
      <c r="M100" s="118">
        <v>3993.82</v>
      </c>
      <c r="N100" s="118"/>
      <c r="O100" s="118">
        <f t="shared" si="106"/>
        <v>3993.82</v>
      </c>
      <c r="P100" s="219">
        <v>2800</v>
      </c>
      <c r="Q100" s="219">
        <v>2800</v>
      </c>
      <c r="R100" s="219">
        <v>2800</v>
      </c>
    </row>
    <row r="101" spans="1:18" hidden="1" outlineLevel="2">
      <c r="A101" s="26" t="s">
        <v>136</v>
      </c>
      <c r="B101" s="33">
        <v>6500</v>
      </c>
      <c r="C101" s="90">
        <v>310402</v>
      </c>
      <c r="D101" s="11" t="s">
        <v>225</v>
      </c>
      <c r="F101" s="227">
        <v>12000</v>
      </c>
      <c r="G101" s="248">
        <v>13639</v>
      </c>
      <c r="H101" s="118">
        <v>12000</v>
      </c>
      <c r="I101" s="118">
        <v>9084</v>
      </c>
      <c r="J101" s="118">
        <v>0</v>
      </c>
      <c r="K101" s="118">
        <f t="shared" si="105"/>
        <v>9084</v>
      </c>
      <c r="L101" s="339">
        <v>9000</v>
      </c>
      <c r="M101" s="118">
        <v>7822.45</v>
      </c>
      <c r="N101" s="118"/>
      <c r="O101" s="118">
        <f t="shared" si="106"/>
        <v>7822.45</v>
      </c>
      <c r="P101" s="219">
        <v>9000</v>
      </c>
      <c r="Q101" s="219">
        <v>9000</v>
      </c>
      <c r="R101" s="219">
        <v>9000</v>
      </c>
    </row>
    <row r="102" spans="1:18" hidden="1" outlineLevel="2">
      <c r="A102" s="26" t="s">
        <v>136</v>
      </c>
      <c r="B102" s="33">
        <v>6501</v>
      </c>
      <c r="C102" s="90">
        <v>310403</v>
      </c>
      <c r="D102" s="11" t="s">
        <v>226</v>
      </c>
      <c r="F102" s="227">
        <v>2000</v>
      </c>
      <c r="G102" s="248">
        <v>0</v>
      </c>
      <c r="H102" s="118">
        <v>2000</v>
      </c>
      <c r="I102" s="118">
        <v>0</v>
      </c>
      <c r="J102" s="118">
        <v>0</v>
      </c>
      <c r="K102" s="118">
        <f t="shared" si="105"/>
        <v>0</v>
      </c>
      <c r="L102" s="339"/>
      <c r="M102" s="118"/>
      <c r="N102" s="118"/>
      <c r="O102" s="118">
        <f t="shared" si="106"/>
        <v>0</v>
      </c>
      <c r="P102" s="219"/>
      <c r="Q102" s="219"/>
      <c r="R102" s="219"/>
    </row>
    <row r="103" spans="1:18" hidden="1" outlineLevel="2">
      <c r="A103" s="26" t="s">
        <v>136</v>
      </c>
      <c r="B103" s="34" t="s">
        <v>85</v>
      </c>
      <c r="C103" s="90">
        <v>310405</v>
      </c>
      <c r="D103" s="11" t="s">
        <v>227</v>
      </c>
      <c r="F103" s="227">
        <v>3000</v>
      </c>
      <c r="G103" s="248">
        <v>2838</v>
      </c>
      <c r="H103" s="118">
        <v>3000</v>
      </c>
      <c r="I103" s="118">
        <v>1656</v>
      </c>
      <c r="J103" s="118">
        <v>0</v>
      </c>
      <c r="K103" s="118">
        <f t="shared" si="105"/>
        <v>1656</v>
      </c>
      <c r="L103" s="339">
        <v>1700</v>
      </c>
      <c r="M103" s="118">
        <v>3864.6</v>
      </c>
      <c r="N103" s="118"/>
      <c r="O103" s="118">
        <f t="shared" si="106"/>
        <v>3864.6</v>
      </c>
      <c r="P103" s="219">
        <v>1700</v>
      </c>
      <c r="Q103" s="219">
        <v>1700</v>
      </c>
      <c r="R103" s="219">
        <v>1700</v>
      </c>
    </row>
    <row r="104" spans="1:18" hidden="1" outlineLevel="2">
      <c r="A104" s="26" t="s">
        <v>136</v>
      </c>
      <c r="B104" s="34" t="s">
        <v>85</v>
      </c>
      <c r="C104" s="90">
        <v>310408</v>
      </c>
      <c r="D104" s="11" t="s">
        <v>228</v>
      </c>
      <c r="F104" s="229">
        <v>2000</v>
      </c>
      <c r="G104" s="252">
        <v>2116</v>
      </c>
      <c r="H104" s="178">
        <v>1000</v>
      </c>
      <c r="I104" s="178">
        <v>0</v>
      </c>
      <c r="J104" s="178">
        <v>0</v>
      </c>
      <c r="K104" s="178">
        <f t="shared" si="105"/>
        <v>0</v>
      </c>
      <c r="L104" s="420">
        <v>0</v>
      </c>
      <c r="M104" s="178"/>
      <c r="N104" s="178"/>
      <c r="O104" s="178">
        <f t="shared" si="106"/>
        <v>0</v>
      </c>
      <c r="P104" s="296">
        <v>0</v>
      </c>
      <c r="Q104" s="296">
        <v>0</v>
      </c>
      <c r="R104" s="296">
        <v>0</v>
      </c>
    </row>
    <row r="105" spans="1:18" hidden="1" outlineLevel="2">
      <c r="A105" s="26" t="s">
        <v>2</v>
      </c>
      <c r="B105" s="34" t="s">
        <v>158</v>
      </c>
      <c r="C105" s="112">
        <v>310499</v>
      </c>
      <c r="D105" s="10" t="s">
        <v>71</v>
      </c>
      <c r="F105" s="226">
        <f>SUM(F100:F104)</f>
        <v>25000</v>
      </c>
      <c r="G105" s="245">
        <f>SUM(G100:G104)</f>
        <v>23220</v>
      </c>
      <c r="H105" s="179">
        <f>SUM(H100:H104)</f>
        <v>22500</v>
      </c>
      <c r="I105" s="179">
        <f>SUM(I100:I104)</f>
        <v>13370</v>
      </c>
      <c r="J105" s="179">
        <f>SUM(J100:J104)</f>
        <v>0</v>
      </c>
      <c r="K105" s="118">
        <f t="shared" si="105"/>
        <v>13370</v>
      </c>
      <c r="L105" s="419">
        <f>SUM(L100:L104)</f>
        <v>13500</v>
      </c>
      <c r="M105" s="179">
        <f>SUM(M100:M104)</f>
        <v>15680.87</v>
      </c>
      <c r="N105" s="179">
        <f>SUM(N100:N104)</f>
        <v>0</v>
      </c>
      <c r="O105" s="118">
        <f t="shared" ref="O105" si="109">M105+N105</f>
        <v>15680.87</v>
      </c>
      <c r="P105" s="220">
        <f>SUM(P100:P104)</f>
        <v>13500</v>
      </c>
      <c r="Q105" s="220">
        <f>SUM(Q100:Q104)</f>
        <v>13500</v>
      </c>
      <c r="R105" s="220">
        <f>SUM(R100:R104)</f>
        <v>13500</v>
      </c>
    </row>
    <row r="106" spans="1:18" ht="9" hidden="1" customHeight="1" outlineLevel="1">
      <c r="B106" s="34"/>
      <c r="C106" s="112"/>
      <c r="D106" s="10"/>
      <c r="F106" s="226"/>
      <c r="G106" s="245"/>
      <c r="H106" s="179"/>
      <c r="I106" s="179"/>
      <c r="J106" s="179"/>
      <c r="K106" s="118"/>
      <c r="L106" s="419"/>
      <c r="M106" s="179"/>
      <c r="N106" s="179"/>
      <c r="O106" s="179"/>
      <c r="P106" s="220"/>
      <c r="Q106" s="220"/>
      <c r="R106" s="220"/>
    </row>
    <row r="107" spans="1:18" hidden="1" outlineLevel="1">
      <c r="A107" s="44" t="s">
        <v>136</v>
      </c>
      <c r="B107" s="34"/>
      <c r="C107" s="90">
        <v>310501</v>
      </c>
      <c r="D107" s="11" t="s">
        <v>193</v>
      </c>
      <c r="E107" s="344"/>
      <c r="F107" s="227">
        <v>5000</v>
      </c>
      <c r="G107" s="248">
        <v>47863</v>
      </c>
      <c r="H107" s="118">
        <v>75000</v>
      </c>
      <c r="I107" s="118">
        <v>20180</v>
      </c>
      <c r="J107" s="73">
        <v>0</v>
      </c>
      <c r="K107" s="118">
        <f>I107+J107</f>
        <v>20180</v>
      </c>
      <c r="L107" s="341">
        <v>4000</v>
      </c>
      <c r="M107" s="73">
        <v>26299.94</v>
      </c>
      <c r="N107" s="73"/>
      <c r="O107" s="118">
        <f>M107+N107</f>
        <v>26299.94</v>
      </c>
      <c r="P107" s="298">
        <v>25000</v>
      </c>
      <c r="Q107" s="298">
        <v>25000</v>
      </c>
      <c r="R107" s="298">
        <v>25000</v>
      </c>
    </row>
    <row r="108" spans="1:18" hidden="1" outlineLevel="1">
      <c r="A108" s="44" t="s">
        <v>136</v>
      </c>
      <c r="B108" s="34"/>
      <c r="C108" s="90">
        <v>310505</v>
      </c>
      <c r="D108" s="11" t="s">
        <v>577</v>
      </c>
      <c r="F108" s="227">
        <v>5000</v>
      </c>
      <c r="G108" s="247">
        <v>0</v>
      </c>
      <c r="H108" s="118">
        <v>0</v>
      </c>
      <c r="I108" s="118">
        <v>0</v>
      </c>
      <c r="J108" s="118">
        <v>0</v>
      </c>
      <c r="K108" s="179">
        <f t="shared" ref="K108" si="110">K113</f>
        <v>0</v>
      </c>
      <c r="L108" s="339">
        <v>0</v>
      </c>
      <c r="M108" s="118">
        <v>0</v>
      </c>
      <c r="N108" s="118">
        <v>0</v>
      </c>
      <c r="O108" s="179">
        <f>M108+N108</f>
        <v>0</v>
      </c>
      <c r="P108" s="219">
        <v>0</v>
      </c>
      <c r="Q108" s="219">
        <v>0</v>
      </c>
      <c r="R108" s="219">
        <v>0</v>
      </c>
    </row>
    <row r="109" spans="1:18" ht="9" hidden="1" customHeight="1" outlineLevel="1">
      <c r="B109" s="34"/>
      <c r="D109" s="10"/>
      <c r="F109" s="220"/>
      <c r="G109" s="245"/>
      <c r="H109" s="179"/>
      <c r="I109" s="5"/>
      <c r="J109" s="5"/>
      <c r="K109" s="118"/>
      <c r="L109" s="339"/>
      <c r="M109" s="118"/>
      <c r="N109" s="118"/>
      <c r="O109" s="118"/>
      <c r="P109" s="219"/>
      <c r="Q109" s="219"/>
      <c r="R109" s="219"/>
    </row>
    <row r="110" spans="1:18" hidden="1" outlineLevel="1">
      <c r="A110" s="26" t="s">
        <v>2</v>
      </c>
      <c r="B110" s="33"/>
      <c r="D110" s="10" t="s">
        <v>39</v>
      </c>
      <c r="F110" s="226">
        <f t="shared" ref="F110:R110" si="111">F85+F91+F97+F105+F107+F108</f>
        <v>100000</v>
      </c>
      <c r="G110" s="245">
        <f t="shared" si="111"/>
        <v>140689</v>
      </c>
      <c r="H110" s="179">
        <f t="shared" si="111"/>
        <v>167700</v>
      </c>
      <c r="I110" s="179">
        <f t="shared" si="111"/>
        <v>106840</v>
      </c>
      <c r="J110" s="179">
        <f t="shared" si="111"/>
        <v>0</v>
      </c>
      <c r="K110" s="179">
        <f t="shared" si="111"/>
        <v>106840</v>
      </c>
      <c r="L110" s="419">
        <f>L85+L91+L97+L105+L107+L108</f>
        <v>72470</v>
      </c>
      <c r="M110" s="179">
        <f>M85+M91+M97+M105+M107+M108</f>
        <v>91173.7</v>
      </c>
      <c r="N110" s="179">
        <f t="shared" si="111"/>
        <v>0</v>
      </c>
      <c r="O110" s="179">
        <f t="shared" si="111"/>
        <v>91173.7</v>
      </c>
      <c r="P110" s="220">
        <f t="shared" si="111"/>
        <v>94500</v>
      </c>
      <c r="Q110" s="220">
        <f t="shared" si="111"/>
        <v>95100</v>
      </c>
      <c r="R110" s="220">
        <f t="shared" si="111"/>
        <v>95100</v>
      </c>
    </row>
    <row r="111" spans="1:18" ht="15" customHeight="1">
      <c r="A111" s="26" t="s">
        <v>0</v>
      </c>
      <c r="B111" s="33"/>
      <c r="C111" s="112">
        <v>320000</v>
      </c>
      <c r="D111" s="52" t="s">
        <v>45</v>
      </c>
      <c r="E111" s="447" t="s">
        <v>595</v>
      </c>
      <c r="F111" s="227">
        <f>F127</f>
        <v>81000</v>
      </c>
      <c r="G111" s="247">
        <f t="shared" ref="G111" si="112">G127</f>
        <v>13550</v>
      </c>
      <c r="H111" s="118">
        <f>H127</f>
        <v>78500</v>
      </c>
      <c r="I111" s="118">
        <f>I127</f>
        <v>35548</v>
      </c>
      <c r="J111" s="118">
        <f t="shared" ref="J111:K111" si="113">J127</f>
        <v>0</v>
      </c>
      <c r="K111" s="118">
        <f t="shared" si="113"/>
        <v>35548</v>
      </c>
      <c r="L111" s="339">
        <f>L127</f>
        <v>16000</v>
      </c>
      <c r="M111" s="118">
        <f>M127</f>
        <v>10616.15</v>
      </c>
      <c r="N111" s="118">
        <f t="shared" ref="N111:O111" si="114">N127</f>
        <v>0</v>
      </c>
      <c r="O111" s="118">
        <f t="shared" si="114"/>
        <v>10616.15</v>
      </c>
      <c r="P111" s="219">
        <f>P127</f>
        <v>16500</v>
      </c>
      <c r="Q111" s="219">
        <f>Q127</f>
        <v>16500</v>
      </c>
      <c r="R111" s="219">
        <f>R127</f>
        <v>16500</v>
      </c>
    </row>
    <row r="112" spans="1:18" s="4" customFormat="1" outlineLevel="1" collapsed="1">
      <c r="A112" s="26" t="s">
        <v>0</v>
      </c>
      <c r="B112" s="33"/>
      <c r="C112" s="112">
        <v>320100</v>
      </c>
      <c r="D112" s="55" t="s">
        <v>50</v>
      </c>
      <c r="E112" s="448"/>
      <c r="F112" s="226"/>
      <c r="G112" s="245"/>
      <c r="H112" s="118">
        <f>H116</f>
        <v>4000</v>
      </c>
      <c r="I112" s="118">
        <f t="shared" ref="I112:K112" si="115">I116</f>
        <v>0</v>
      </c>
      <c r="J112" s="118">
        <f t="shared" si="115"/>
        <v>0</v>
      </c>
      <c r="K112" s="118">
        <f t="shared" si="115"/>
        <v>0</v>
      </c>
      <c r="L112" s="419">
        <f>L116</f>
        <v>6000</v>
      </c>
      <c r="M112" s="118">
        <f t="shared" ref="M112:O112" si="116">M116</f>
        <v>0</v>
      </c>
      <c r="N112" s="118"/>
      <c r="O112" s="118">
        <f t="shared" si="116"/>
        <v>0</v>
      </c>
      <c r="P112" s="220">
        <f>P116</f>
        <v>6500</v>
      </c>
      <c r="Q112" s="220">
        <f>Q116</f>
        <v>6500</v>
      </c>
      <c r="R112" s="220">
        <f>R116</f>
        <v>6500</v>
      </c>
    </row>
    <row r="113" spans="1:18" s="4" customFormat="1" hidden="1" outlineLevel="2">
      <c r="A113" s="26" t="s">
        <v>136</v>
      </c>
      <c r="B113" s="33">
        <v>4042</v>
      </c>
      <c r="C113" s="90">
        <v>320101</v>
      </c>
      <c r="D113" s="56" t="s">
        <v>230</v>
      </c>
      <c r="E113" s="449"/>
      <c r="F113" s="227">
        <v>0</v>
      </c>
      <c r="G113" s="247">
        <v>0</v>
      </c>
      <c r="H113" s="118">
        <v>0</v>
      </c>
      <c r="I113" s="118">
        <v>0</v>
      </c>
      <c r="J113" s="118">
        <v>0</v>
      </c>
      <c r="K113" s="118">
        <f>I113+J113</f>
        <v>0</v>
      </c>
      <c r="L113" s="339">
        <v>0</v>
      </c>
      <c r="M113" s="118">
        <v>0</v>
      </c>
      <c r="N113" s="118">
        <v>0</v>
      </c>
      <c r="O113" s="118">
        <f>M113+N113</f>
        <v>0</v>
      </c>
      <c r="P113" s="220"/>
      <c r="Q113" s="220"/>
      <c r="R113" s="220"/>
    </row>
    <row r="114" spans="1:18" s="4" customFormat="1" hidden="1" outlineLevel="2">
      <c r="A114" s="26" t="s">
        <v>136</v>
      </c>
      <c r="B114" s="33">
        <v>4040</v>
      </c>
      <c r="C114" s="90">
        <v>320102</v>
      </c>
      <c r="D114" s="56" t="s">
        <v>231</v>
      </c>
      <c r="E114" s="449"/>
      <c r="F114" s="227">
        <v>3000</v>
      </c>
      <c r="G114" s="247">
        <v>0</v>
      </c>
      <c r="H114" s="118">
        <v>3000</v>
      </c>
      <c r="I114" s="118">
        <v>0</v>
      </c>
      <c r="J114" s="118">
        <v>0</v>
      </c>
      <c r="K114" s="118">
        <f>I114+J114</f>
        <v>0</v>
      </c>
      <c r="L114" s="339">
        <v>5000</v>
      </c>
      <c r="M114" s="118">
        <v>0</v>
      </c>
      <c r="N114" s="118">
        <v>0</v>
      </c>
      <c r="O114" s="118">
        <f>M114+N114</f>
        <v>0</v>
      </c>
      <c r="P114" s="219">
        <v>5000</v>
      </c>
      <c r="Q114" s="219">
        <v>5000</v>
      </c>
      <c r="R114" s="219">
        <v>5000</v>
      </c>
    </row>
    <row r="115" spans="1:18" s="4" customFormat="1" hidden="1" outlineLevel="2">
      <c r="A115" s="26" t="s">
        <v>136</v>
      </c>
      <c r="B115" s="33">
        <v>4043</v>
      </c>
      <c r="C115" s="90">
        <v>320103</v>
      </c>
      <c r="D115" s="56" t="s">
        <v>232</v>
      </c>
      <c r="E115" s="449"/>
      <c r="F115" s="229">
        <v>1000</v>
      </c>
      <c r="G115" s="249">
        <v>0</v>
      </c>
      <c r="H115" s="178">
        <v>1000</v>
      </c>
      <c r="I115" s="178">
        <v>0</v>
      </c>
      <c r="J115" s="178">
        <v>0</v>
      </c>
      <c r="K115" s="178">
        <f>I115+J115</f>
        <v>0</v>
      </c>
      <c r="L115" s="420">
        <v>1000</v>
      </c>
      <c r="M115" s="178">
        <v>0</v>
      </c>
      <c r="N115" s="178">
        <v>0</v>
      </c>
      <c r="O115" s="178">
        <f>M115+N115</f>
        <v>0</v>
      </c>
      <c r="P115" s="296">
        <v>1500</v>
      </c>
      <c r="Q115" s="296">
        <v>1500</v>
      </c>
      <c r="R115" s="296">
        <v>1500</v>
      </c>
    </row>
    <row r="116" spans="1:18" s="4" customFormat="1" hidden="1" outlineLevel="2">
      <c r="A116" s="26" t="s">
        <v>2</v>
      </c>
      <c r="B116" s="34" t="s">
        <v>181</v>
      </c>
      <c r="C116" s="112">
        <v>320199</v>
      </c>
      <c r="D116" s="55" t="s">
        <v>65</v>
      </c>
      <c r="E116" s="449"/>
      <c r="F116" s="226">
        <f t="shared" ref="F116" si="117">SUM(F113:F115)</f>
        <v>4000</v>
      </c>
      <c r="G116" s="245">
        <f t="shared" ref="G116" si="118">SUM(G113:G115)</f>
        <v>0</v>
      </c>
      <c r="H116" s="179">
        <f t="shared" ref="H116:L116" si="119">SUM(H113:H115)</f>
        <v>4000</v>
      </c>
      <c r="I116" s="179">
        <f t="shared" si="119"/>
        <v>0</v>
      </c>
      <c r="J116" s="179">
        <f t="shared" si="119"/>
        <v>0</v>
      </c>
      <c r="K116" s="118">
        <f>I116+J116</f>
        <v>0</v>
      </c>
      <c r="L116" s="419">
        <f t="shared" si="119"/>
        <v>6000</v>
      </c>
      <c r="M116" s="179">
        <f t="shared" ref="M116:N116" si="120">SUM(M113:M115)</f>
        <v>0</v>
      </c>
      <c r="N116" s="179">
        <f t="shared" si="120"/>
        <v>0</v>
      </c>
      <c r="O116" s="118">
        <f>M116+N116</f>
        <v>0</v>
      </c>
      <c r="P116" s="220">
        <f t="shared" ref="P116:Q116" si="121">SUM(P113:P115)</f>
        <v>6500</v>
      </c>
      <c r="Q116" s="220">
        <f t="shared" si="121"/>
        <v>6500</v>
      </c>
      <c r="R116" s="220">
        <f t="shared" ref="R116" si="122">SUM(R113:R115)</f>
        <v>6500</v>
      </c>
    </row>
    <row r="117" spans="1:18" s="4" customFormat="1" ht="9" customHeight="1" outlineLevel="1">
      <c r="A117" s="26"/>
      <c r="B117" s="33"/>
      <c r="C117" s="112"/>
      <c r="D117" s="55"/>
      <c r="E117" s="449"/>
      <c r="F117" s="220"/>
      <c r="G117" s="245"/>
      <c r="H117" s="179"/>
      <c r="I117" s="118"/>
      <c r="J117" s="118"/>
      <c r="K117" s="118">
        <f>I117+J117</f>
        <v>0</v>
      </c>
      <c r="L117" s="419"/>
      <c r="M117" s="179"/>
      <c r="N117" s="179"/>
      <c r="O117" s="179"/>
      <c r="P117" s="220"/>
      <c r="Q117" s="220"/>
      <c r="R117" s="220"/>
    </row>
    <row r="118" spans="1:18" s="4" customFormat="1" outlineLevel="1" collapsed="1">
      <c r="A118" s="26"/>
      <c r="B118" s="33"/>
      <c r="C118" s="112">
        <v>328800</v>
      </c>
      <c r="D118" s="55" t="s">
        <v>233</v>
      </c>
      <c r="E118" s="448"/>
      <c r="F118" s="220"/>
      <c r="G118" s="245"/>
      <c r="H118" s="118">
        <f>H125</f>
        <v>74500</v>
      </c>
      <c r="I118" s="118">
        <f t="shared" ref="I118:O118" si="123">I125</f>
        <v>35548</v>
      </c>
      <c r="J118" s="118">
        <f t="shared" si="123"/>
        <v>0</v>
      </c>
      <c r="K118" s="118">
        <f t="shared" si="123"/>
        <v>35548</v>
      </c>
      <c r="L118" s="419">
        <f>L125</f>
        <v>10000</v>
      </c>
      <c r="M118" s="118">
        <f t="shared" si="123"/>
        <v>10616.15</v>
      </c>
      <c r="N118" s="118">
        <f t="shared" si="123"/>
        <v>0</v>
      </c>
      <c r="O118" s="118">
        <f t="shared" si="123"/>
        <v>10616.15</v>
      </c>
      <c r="P118" s="220">
        <f>P125</f>
        <v>10000</v>
      </c>
      <c r="Q118" s="220">
        <f>Q125</f>
        <v>10000</v>
      </c>
      <c r="R118" s="220">
        <f>R125</f>
        <v>10000</v>
      </c>
    </row>
    <row r="119" spans="1:18" s="4" customFormat="1" hidden="1" outlineLevel="2">
      <c r="A119" s="26" t="s">
        <v>136</v>
      </c>
      <c r="B119" s="33">
        <v>4031</v>
      </c>
      <c r="C119" s="90">
        <v>328801</v>
      </c>
      <c r="D119" s="56" t="s">
        <v>26</v>
      </c>
      <c r="E119" s="449"/>
      <c r="F119" s="227">
        <v>500</v>
      </c>
      <c r="G119" s="247">
        <v>0</v>
      </c>
      <c r="H119" s="118">
        <v>500</v>
      </c>
      <c r="I119" s="118">
        <v>0</v>
      </c>
      <c r="J119" s="118"/>
      <c r="K119" s="118">
        <f t="shared" ref="K119:K125" si="124">I119+J119</f>
        <v>0</v>
      </c>
      <c r="L119" s="419">
        <v>0</v>
      </c>
      <c r="M119" s="179"/>
      <c r="N119" s="179"/>
      <c r="O119" s="118">
        <f t="shared" ref="O119:O124" si="125">M119+N119</f>
        <v>0</v>
      </c>
      <c r="P119" s="220">
        <v>0</v>
      </c>
      <c r="Q119" s="220">
        <v>0</v>
      </c>
      <c r="R119" s="220">
        <v>0</v>
      </c>
    </row>
    <row r="120" spans="1:18" s="4" customFormat="1" hidden="1" outlineLevel="2">
      <c r="A120" s="26" t="s">
        <v>136</v>
      </c>
      <c r="B120" s="33">
        <v>4001</v>
      </c>
      <c r="C120" s="90">
        <v>328811</v>
      </c>
      <c r="D120" s="56" t="s">
        <v>68</v>
      </c>
      <c r="E120" s="449"/>
      <c r="F120" s="227">
        <v>26000</v>
      </c>
      <c r="G120" s="248">
        <v>7650</v>
      </c>
      <c r="H120" s="118">
        <v>25000</v>
      </c>
      <c r="I120" s="118">
        <v>15495</v>
      </c>
      <c r="J120" s="118">
        <v>0</v>
      </c>
      <c r="K120" s="118">
        <f t="shared" si="124"/>
        <v>15495</v>
      </c>
      <c r="L120" s="419">
        <v>0</v>
      </c>
      <c r="M120" s="179"/>
      <c r="N120" s="179"/>
      <c r="O120" s="118">
        <f t="shared" si="125"/>
        <v>0</v>
      </c>
      <c r="P120" s="220">
        <v>0</v>
      </c>
      <c r="Q120" s="220">
        <v>0</v>
      </c>
      <c r="R120" s="220">
        <v>0</v>
      </c>
    </row>
    <row r="121" spans="1:18" s="4" customFormat="1" hidden="1" outlineLevel="2">
      <c r="A121" s="26" t="s">
        <v>136</v>
      </c>
      <c r="B121" s="33">
        <v>4030</v>
      </c>
      <c r="C121" s="90">
        <v>328831</v>
      </c>
      <c r="D121" s="56" t="s">
        <v>34</v>
      </c>
      <c r="E121" s="449"/>
      <c r="F121" s="227">
        <v>45500</v>
      </c>
      <c r="G121" s="247">
        <v>1000</v>
      </c>
      <c r="H121" s="118">
        <v>39000</v>
      </c>
      <c r="I121" s="118">
        <v>15853</v>
      </c>
      <c r="J121" s="118">
        <v>0</v>
      </c>
      <c r="K121" s="118">
        <f t="shared" si="124"/>
        <v>15853</v>
      </c>
      <c r="L121" s="419">
        <v>0</v>
      </c>
      <c r="M121" s="179"/>
      <c r="N121" s="179"/>
      <c r="O121" s="118">
        <f t="shared" si="125"/>
        <v>0</v>
      </c>
      <c r="P121" s="220">
        <v>0</v>
      </c>
      <c r="Q121" s="220">
        <v>0</v>
      </c>
      <c r="R121" s="220">
        <v>0</v>
      </c>
    </row>
    <row r="122" spans="1:18" s="4" customFormat="1" hidden="1" outlineLevel="2">
      <c r="A122" s="26" t="s">
        <v>136</v>
      </c>
      <c r="B122" s="33">
        <v>5120</v>
      </c>
      <c r="C122" s="90">
        <v>328841</v>
      </c>
      <c r="D122" s="56" t="s">
        <v>38</v>
      </c>
      <c r="E122" s="449"/>
      <c r="F122" s="227">
        <v>0</v>
      </c>
      <c r="G122" s="247">
        <v>0</v>
      </c>
      <c r="H122" s="118">
        <v>0</v>
      </c>
      <c r="I122" s="118">
        <v>0</v>
      </c>
      <c r="J122" s="118"/>
      <c r="K122" s="118">
        <f t="shared" si="124"/>
        <v>0</v>
      </c>
      <c r="L122" s="419">
        <v>0</v>
      </c>
      <c r="M122" s="179"/>
      <c r="N122" s="179"/>
      <c r="O122" s="118">
        <f t="shared" si="125"/>
        <v>0</v>
      </c>
      <c r="P122" s="220">
        <v>0</v>
      </c>
      <c r="Q122" s="220">
        <v>0</v>
      </c>
      <c r="R122" s="220">
        <v>0</v>
      </c>
    </row>
    <row r="123" spans="1:18" hidden="1" outlineLevel="2">
      <c r="A123" s="26" t="s">
        <v>136</v>
      </c>
      <c r="B123" s="33">
        <v>4020</v>
      </c>
      <c r="C123" s="90">
        <v>328851</v>
      </c>
      <c r="D123" s="56" t="s">
        <v>24</v>
      </c>
      <c r="E123" s="449"/>
      <c r="F123" s="227">
        <v>0</v>
      </c>
      <c r="G123" s="247">
        <v>0</v>
      </c>
      <c r="H123" s="118">
        <v>0</v>
      </c>
      <c r="I123" s="118">
        <v>0</v>
      </c>
      <c r="J123" s="118"/>
      <c r="K123" s="118">
        <f t="shared" si="124"/>
        <v>0</v>
      </c>
      <c r="L123" s="339">
        <v>0</v>
      </c>
      <c r="M123" s="118"/>
      <c r="N123" s="118"/>
      <c r="O123" s="118">
        <f t="shared" si="125"/>
        <v>0</v>
      </c>
      <c r="P123" s="219">
        <v>0</v>
      </c>
      <c r="Q123" s="219">
        <v>0</v>
      </c>
      <c r="R123" s="219">
        <v>0</v>
      </c>
    </row>
    <row r="124" spans="1:18" hidden="1" outlineLevel="2">
      <c r="A124" s="26" t="s">
        <v>136</v>
      </c>
      <c r="B124" s="34" t="s">
        <v>85</v>
      </c>
      <c r="C124" s="90">
        <v>328861</v>
      </c>
      <c r="D124" s="56" t="s">
        <v>182</v>
      </c>
      <c r="E124" s="450"/>
      <c r="F124" s="229">
        <v>5000</v>
      </c>
      <c r="G124" s="249">
        <v>4900</v>
      </c>
      <c r="H124" s="178">
        <v>10000</v>
      </c>
      <c r="I124" s="178">
        <v>4200</v>
      </c>
      <c r="J124" s="178">
        <v>0</v>
      </c>
      <c r="K124" s="178">
        <f t="shared" si="124"/>
        <v>4200</v>
      </c>
      <c r="L124" s="420">
        <v>10000</v>
      </c>
      <c r="M124" s="178">
        <v>10616.15</v>
      </c>
      <c r="N124" s="178"/>
      <c r="O124" s="178">
        <f t="shared" si="125"/>
        <v>10616.15</v>
      </c>
      <c r="P124" s="296">
        <v>10000</v>
      </c>
      <c r="Q124" s="296">
        <v>10000</v>
      </c>
      <c r="R124" s="296">
        <v>10000</v>
      </c>
    </row>
    <row r="125" spans="1:18" hidden="1" outlineLevel="2">
      <c r="A125" s="26" t="s">
        <v>2</v>
      </c>
      <c r="B125" s="34" t="s">
        <v>181</v>
      </c>
      <c r="C125" s="112">
        <v>328899</v>
      </c>
      <c r="D125" s="55" t="s">
        <v>234</v>
      </c>
      <c r="E125" s="449"/>
      <c r="F125" s="226">
        <f t="shared" ref="F125:G125" si="126">SUM(F119:F124)</f>
        <v>77000</v>
      </c>
      <c r="G125" s="245">
        <f t="shared" si="126"/>
        <v>13550</v>
      </c>
      <c r="H125" s="179">
        <f t="shared" ref="H125:N125" si="127">SUM(H119:H124)</f>
        <v>74500</v>
      </c>
      <c r="I125" s="179">
        <f t="shared" si="127"/>
        <v>35548</v>
      </c>
      <c r="J125" s="179">
        <f t="shared" si="127"/>
        <v>0</v>
      </c>
      <c r="K125" s="179">
        <f t="shared" si="124"/>
        <v>35548</v>
      </c>
      <c r="L125" s="419">
        <f t="shared" si="127"/>
        <v>10000</v>
      </c>
      <c r="M125" s="179">
        <f t="shared" si="127"/>
        <v>10616.15</v>
      </c>
      <c r="N125" s="179">
        <f t="shared" si="127"/>
        <v>0</v>
      </c>
      <c r="O125" s="179">
        <f t="shared" ref="O125" si="128">M125+N125</f>
        <v>10616.15</v>
      </c>
      <c r="P125" s="220">
        <f t="shared" ref="P125:Q125" si="129">SUM(P119:P124)</f>
        <v>10000</v>
      </c>
      <c r="Q125" s="220">
        <f t="shared" si="129"/>
        <v>10000</v>
      </c>
      <c r="R125" s="220">
        <f t="shared" ref="R125" si="130">SUM(R119:R124)</f>
        <v>10000</v>
      </c>
    </row>
    <row r="126" spans="1:18" ht="9" customHeight="1" outlineLevel="1">
      <c r="B126" s="33"/>
      <c r="D126" s="56"/>
      <c r="E126" s="449"/>
      <c r="F126" s="219"/>
      <c r="G126" s="247"/>
      <c r="H126" s="118"/>
      <c r="I126" s="118"/>
      <c r="J126" s="118"/>
      <c r="K126" s="118"/>
      <c r="L126" s="339"/>
      <c r="M126" s="118"/>
      <c r="N126" s="118"/>
      <c r="O126" s="118"/>
      <c r="P126" s="219"/>
      <c r="Q126" s="219"/>
      <c r="R126" s="219"/>
    </row>
    <row r="127" spans="1:18" outlineLevel="1">
      <c r="A127" s="26" t="s">
        <v>2</v>
      </c>
      <c r="B127" s="33">
        <v>4999</v>
      </c>
      <c r="C127" s="112">
        <v>399999</v>
      </c>
      <c r="D127" s="55" t="s">
        <v>57</v>
      </c>
      <c r="E127" s="449"/>
      <c r="F127" s="226">
        <f t="shared" ref="F127:G127" si="131">F116+F125</f>
        <v>81000</v>
      </c>
      <c r="G127" s="245">
        <f t="shared" si="131"/>
        <v>13550</v>
      </c>
      <c r="H127" s="179">
        <f t="shared" ref="H127:N127" si="132">H116+H125</f>
        <v>78500</v>
      </c>
      <c r="I127" s="179">
        <f t="shared" si="132"/>
        <v>35548</v>
      </c>
      <c r="J127" s="179">
        <f t="shared" si="132"/>
        <v>0</v>
      </c>
      <c r="K127" s="179">
        <f>I127+J127</f>
        <v>35548</v>
      </c>
      <c r="L127" s="419">
        <f t="shared" si="132"/>
        <v>16000</v>
      </c>
      <c r="M127" s="179">
        <f t="shared" si="132"/>
        <v>10616.15</v>
      </c>
      <c r="N127" s="179">
        <f t="shared" si="132"/>
        <v>0</v>
      </c>
      <c r="O127" s="179">
        <f>M127+N127</f>
        <v>10616.15</v>
      </c>
      <c r="P127" s="220">
        <f t="shared" ref="P127:Q127" si="133">P116+P125</f>
        <v>16500</v>
      </c>
      <c r="Q127" s="220">
        <f t="shared" si="133"/>
        <v>16500</v>
      </c>
      <c r="R127" s="220">
        <f t="shared" ref="R127" si="134">R116+R125</f>
        <v>16500</v>
      </c>
    </row>
    <row r="128" spans="1:18" collapsed="1">
      <c r="A128" s="26" t="s">
        <v>0</v>
      </c>
      <c r="B128" s="33"/>
      <c r="C128" s="112">
        <v>330000</v>
      </c>
      <c r="D128" s="52" t="s">
        <v>46</v>
      </c>
      <c r="E128" s="447" t="s">
        <v>596</v>
      </c>
      <c r="F128" s="227">
        <f t="shared" ref="F128" si="135">F159</f>
        <v>561900</v>
      </c>
      <c r="G128" s="247">
        <f t="shared" ref="G128" si="136">G159</f>
        <v>557448</v>
      </c>
      <c r="H128" s="118">
        <f t="shared" ref="H128:O128" si="137">H159</f>
        <v>523000</v>
      </c>
      <c r="I128" s="118">
        <f t="shared" si="137"/>
        <v>454963</v>
      </c>
      <c r="J128" s="73">
        <f t="shared" si="137"/>
        <v>0</v>
      </c>
      <c r="K128" s="118">
        <f t="shared" si="137"/>
        <v>454963</v>
      </c>
      <c r="L128" s="339">
        <f t="shared" si="137"/>
        <v>21400</v>
      </c>
      <c r="M128" s="118">
        <f t="shared" si="137"/>
        <v>7233</v>
      </c>
      <c r="N128" s="73">
        <f t="shared" si="137"/>
        <v>0</v>
      </c>
      <c r="O128" s="118">
        <f t="shared" si="137"/>
        <v>7233</v>
      </c>
      <c r="P128" s="219">
        <f t="shared" ref="P128:Q128" si="138">P159</f>
        <v>21400</v>
      </c>
      <c r="Q128" s="219">
        <f t="shared" si="138"/>
        <v>21400</v>
      </c>
      <c r="R128" s="219">
        <f t="shared" ref="R128" si="139">R159</f>
        <v>21400</v>
      </c>
    </row>
    <row r="129" spans="1:19" ht="15" hidden="1" customHeight="1" outlineLevel="1" collapsed="1">
      <c r="A129" s="26" t="s">
        <v>0</v>
      </c>
      <c r="B129" s="33"/>
      <c r="C129" s="112">
        <v>330100</v>
      </c>
      <c r="D129" s="55" t="s">
        <v>235</v>
      </c>
      <c r="E129" s="448"/>
      <c r="F129" s="227"/>
      <c r="G129" s="247"/>
      <c r="H129" s="118">
        <f>H133</f>
        <v>2700</v>
      </c>
      <c r="I129" s="118">
        <f t="shared" ref="I129:O129" si="140">I133</f>
        <v>348</v>
      </c>
      <c r="J129" s="118">
        <f t="shared" si="140"/>
        <v>0</v>
      </c>
      <c r="K129" s="118">
        <f t="shared" si="140"/>
        <v>348</v>
      </c>
      <c r="L129" s="425">
        <f>L133</f>
        <v>6000</v>
      </c>
      <c r="M129" s="118">
        <f t="shared" si="140"/>
        <v>527</v>
      </c>
      <c r="N129" s="118">
        <f t="shared" si="140"/>
        <v>0</v>
      </c>
      <c r="O129" s="118">
        <f t="shared" si="140"/>
        <v>527</v>
      </c>
      <c r="P129" s="331">
        <f>P133</f>
        <v>6000</v>
      </c>
      <c r="Q129" s="331">
        <f>Q133</f>
        <v>6000</v>
      </c>
      <c r="R129" s="331">
        <f>R133</f>
        <v>6000</v>
      </c>
    </row>
    <row r="130" spans="1:19" hidden="1" outlineLevel="2">
      <c r="A130" s="26" t="s">
        <v>136</v>
      </c>
      <c r="B130" s="33">
        <v>3033</v>
      </c>
      <c r="C130" s="90">
        <v>330101</v>
      </c>
      <c r="D130" s="56" t="s">
        <v>236</v>
      </c>
      <c r="E130" s="449"/>
      <c r="F130" s="227">
        <v>0</v>
      </c>
      <c r="G130" s="247">
        <v>0</v>
      </c>
      <c r="H130" s="118">
        <v>0</v>
      </c>
      <c r="I130" s="118">
        <v>0</v>
      </c>
      <c r="J130" s="118">
        <v>0</v>
      </c>
      <c r="K130" s="118">
        <f>I130+J130</f>
        <v>0</v>
      </c>
      <c r="L130" s="341">
        <v>0</v>
      </c>
      <c r="M130" s="73"/>
      <c r="N130" s="73"/>
      <c r="O130" s="118">
        <f>M130+N130</f>
        <v>0</v>
      </c>
      <c r="P130" s="298">
        <v>0</v>
      </c>
      <c r="Q130" s="298">
        <v>0</v>
      </c>
      <c r="R130" s="298">
        <v>0</v>
      </c>
    </row>
    <row r="131" spans="1:19" hidden="1" outlineLevel="2">
      <c r="A131" s="26" t="s">
        <v>136</v>
      </c>
      <c r="B131" s="33">
        <v>3031</v>
      </c>
      <c r="C131" s="90">
        <v>330102</v>
      </c>
      <c r="D131" s="56" t="s">
        <v>237</v>
      </c>
      <c r="E131" s="449"/>
      <c r="F131" s="227">
        <v>3000</v>
      </c>
      <c r="G131" s="247">
        <v>0</v>
      </c>
      <c r="H131" s="118">
        <v>2200</v>
      </c>
      <c r="I131" s="118">
        <v>0</v>
      </c>
      <c r="J131" s="118">
        <v>0</v>
      </c>
      <c r="K131" s="118">
        <f>I131+J131</f>
        <v>0</v>
      </c>
      <c r="L131" s="341">
        <v>5000</v>
      </c>
      <c r="M131" s="73"/>
      <c r="N131" s="73"/>
      <c r="O131" s="118">
        <f>M131+N131</f>
        <v>0</v>
      </c>
      <c r="P131" s="298">
        <v>5000</v>
      </c>
      <c r="Q131" s="298">
        <v>5000</v>
      </c>
      <c r="R131" s="298">
        <v>5000</v>
      </c>
    </row>
    <row r="132" spans="1:19" ht="15" hidden="1" customHeight="1" outlineLevel="2">
      <c r="A132" s="26" t="s">
        <v>136</v>
      </c>
      <c r="B132" s="33">
        <v>3030</v>
      </c>
      <c r="C132" s="90">
        <v>330103</v>
      </c>
      <c r="D132" s="56" t="s">
        <v>238</v>
      </c>
      <c r="E132" s="449"/>
      <c r="F132" s="229">
        <v>600</v>
      </c>
      <c r="G132" s="249">
        <v>0</v>
      </c>
      <c r="H132" s="178">
        <v>500</v>
      </c>
      <c r="I132" s="178">
        <v>348</v>
      </c>
      <c r="J132" s="178">
        <v>0</v>
      </c>
      <c r="K132" s="178">
        <f>I132+J132</f>
        <v>348</v>
      </c>
      <c r="L132" s="426">
        <v>1000</v>
      </c>
      <c r="M132" s="213">
        <v>527</v>
      </c>
      <c r="N132" s="213"/>
      <c r="O132" s="178">
        <f>M132+N132</f>
        <v>527</v>
      </c>
      <c r="P132" s="309">
        <v>1000</v>
      </c>
      <c r="Q132" s="309">
        <v>1000</v>
      </c>
      <c r="R132" s="309">
        <v>1000</v>
      </c>
      <c r="S132" s="18"/>
    </row>
    <row r="133" spans="1:19" ht="15" hidden="1" outlineLevel="2">
      <c r="A133" s="26" t="s">
        <v>2</v>
      </c>
      <c r="B133" s="34" t="s">
        <v>158</v>
      </c>
      <c r="C133" s="112">
        <v>330199</v>
      </c>
      <c r="D133" s="55" t="s">
        <v>239</v>
      </c>
      <c r="E133" s="449"/>
      <c r="F133" s="226">
        <f t="shared" ref="F133" si="141">SUM(F130:F132)</f>
        <v>3600</v>
      </c>
      <c r="G133" s="245">
        <f t="shared" ref="G133" si="142">SUM(G130:G132)</f>
        <v>0</v>
      </c>
      <c r="H133" s="179">
        <f t="shared" ref="H133:J133" si="143">SUM(H130:H132)</f>
        <v>2700</v>
      </c>
      <c r="I133" s="179">
        <f t="shared" si="143"/>
        <v>348</v>
      </c>
      <c r="J133" s="179">
        <f t="shared" si="143"/>
        <v>0</v>
      </c>
      <c r="K133" s="179">
        <f>I133+J133</f>
        <v>348</v>
      </c>
      <c r="L133" s="419">
        <f t="shared" ref="L133:P133" si="144">SUM(L130:L132)</f>
        <v>6000</v>
      </c>
      <c r="M133" s="179">
        <f t="shared" si="144"/>
        <v>527</v>
      </c>
      <c r="N133" s="179">
        <f t="shared" si="144"/>
        <v>0</v>
      </c>
      <c r="O133" s="179">
        <f>M133+N133</f>
        <v>527</v>
      </c>
      <c r="P133" s="220">
        <f t="shared" si="144"/>
        <v>6000</v>
      </c>
      <c r="Q133" s="220">
        <f t="shared" ref="Q133:R133" si="145">SUM(Q130:Q132)</f>
        <v>6000</v>
      </c>
      <c r="R133" s="220">
        <f t="shared" si="145"/>
        <v>6000</v>
      </c>
      <c r="S133" s="19"/>
    </row>
    <row r="134" spans="1:19" ht="9" hidden="1" customHeight="1" outlineLevel="1">
      <c r="B134" s="33"/>
      <c r="D134" s="56"/>
      <c r="E134" s="449"/>
      <c r="F134" s="219"/>
      <c r="G134" s="247"/>
      <c r="H134" s="118"/>
      <c r="I134" s="118"/>
      <c r="J134" s="118"/>
      <c r="K134" s="118"/>
      <c r="L134" s="339"/>
      <c r="M134" s="118"/>
      <c r="N134" s="118"/>
      <c r="O134" s="118"/>
      <c r="P134" s="219"/>
      <c r="Q134" s="219"/>
      <c r="R134" s="219"/>
      <c r="S134" s="21"/>
    </row>
    <row r="135" spans="1:19" ht="15" hidden="1" outlineLevel="1" collapsed="1">
      <c r="A135" s="26" t="s">
        <v>0</v>
      </c>
      <c r="B135" s="33"/>
      <c r="C135" s="112">
        <v>330200</v>
      </c>
      <c r="D135" s="55" t="s">
        <v>78</v>
      </c>
      <c r="E135" s="448"/>
      <c r="F135" s="219"/>
      <c r="G135" s="247"/>
      <c r="H135" s="118">
        <f>H140</f>
        <v>376300</v>
      </c>
      <c r="I135" s="118">
        <f>I140</f>
        <v>356688</v>
      </c>
      <c r="J135" s="118">
        <f>J140</f>
        <v>0</v>
      </c>
      <c r="K135" s="118">
        <f t="shared" ref="K135:K140" si="146">I135+J135</f>
        <v>356688</v>
      </c>
      <c r="L135" s="339">
        <f>L140</f>
        <v>0</v>
      </c>
      <c r="M135" s="118">
        <f>M140</f>
        <v>0</v>
      </c>
      <c r="N135" s="118">
        <f>N140</f>
        <v>0</v>
      </c>
      <c r="O135" s="118">
        <f t="shared" ref="O135:O139" si="147">M135+N135</f>
        <v>0</v>
      </c>
      <c r="P135" s="219">
        <f>P140</f>
        <v>0</v>
      </c>
      <c r="Q135" s="219">
        <f>Q140</f>
        <v>0</v>
      </c>
      <c r="R135" s="219">
        <f>R140</f>
        <v>0</v>
      </c>
      <c r="S135" s="15"/>
    </row>
    <row r="136" spans="1:19" ht="15" hidden="1" outlineLevel="2">
      <c r="A136" s="26" t="s">
        <v>136</v>
      </c>
      <c r="B136" s="33"/>
      <c r="C136" s="90">
        <v>330201</v>
      </c>
      <c r="D136" s="56" t="s">
        <v>240</v>
      </c>
      <c r="E136" s="449"/>
      <c r="F136" s="227">
        <v>1500</v>
      </c>
      <c r="G136" s="247">
        <v>1140</v>
      </c>
      <c r="H136" s="118">
        <v>1500</v>
      </c>
      <c r="I136" s="118">
        <v>550</v>
      </c>
      <c r="J136" s="118">
        <v>0</v>
      </c>
      <c r="K136" s="118">
        <f t="shared" si="146"/>
        <v>550</v>
      </c>
      <c r="L136" s="339">
        <v>0</v>
      </c>
      <c r="M136" s="118"/>
      <c r="N136" s="118"/>
      <c r="O136" s="118">
        <f t="shared" si="147"/>
        <v>0</v>
      </c>
      <c r="P136" s="219">
        <v>0</v>
      </c>
      <c r="Q136" s="219">
        <v>0</v>
      </c>
      <c r="R136" s="219">
        <v>0</v>
      </c>
      <c r="S136" s="15"/>
    </row>
    <row r="137" spans="1:19" ht="15" hidden="1" outlineLevel="2">
      <c r="A137" s="26" t="s">
        <v>136</v>
      </c>
      <c r="B137" s="33"/>
      <c r="C137" s="90">
        <v>330202</v>
      </c>
      <c r="D137" s="56" t="s">
        <v>241</v>
      </c>
      <c r="E137" s="449"/>
      <c r="F137" s="227">
        <v>9000</v>
      </c>
      <c r="G137" s="248">
        <v>8941</v>
      </c>
      <c r="H137" s="118">
        <v>9000</v>
      </c>
      <c r="I137" s="118">
        <v>5778</v>
      </c>
      <c r="J137" s="118">
        <v>0</v>
      </c>
      <c r="K137" s="118">
        <f t="shared" si="146"/>
        <v>5778</v>
      </c>
      <c r="L137" s="339">
        <v>0</v>
      </c>
      <c r="M137" s="118"/>
      <c r="N137" s="118"/>
      <c r="O137" s="118">
        <f t="shared" si="147"/>
        <v>0</v>
      </c>
      <c r="P137" s="219">
        <v>0</v>
      </c>
      <c r="Q137" s="219">
        <v>0</v>
      </c>
      <c r="R137" s="219">
        <v>0</v>
      </c>
      <c r="S137" s="15"/>
    </row>
    <row r="138" spans="1:19" ht="15" hidden="1" outlineLevel="2">
      <c r="A138" s="26" t="s">
        <v>136</v>
      </c>
      <c r="B138" s="33"/>
      <c r="C138" s="90">
        <v>330203</v>
      </c>
      <c r="D138" s="56" t="s">
        <v>242</v>
      </c>
      <c r="E138" s="449"/>
      <c r="F138" s="227">
        <v>600</v>
      </c>
      <c r="G138" s="248">
        <v>675</v>
      </c>
      <c r="H138" s="118">
        <v>800</v>
      </c>
      <c r="I138" s="118">
        <v>826</v>
      </c>
      <c r="J138" s="118"/>
      <c r="K138" s="118">
        <f t="shared" si="146"/>
        <v>826</v>
      </c>
      <c r="L138" s="339">
        <v>0</v>
      </c>
      <c r="M138" s="118"/>
      <c r="N138" s="118"/>
      <c r="O138" s="118">
        <f t="shared" si="147"/>
        <v>0</v>
      </c>
      <c r="P138" s="219">
        <v>0</v>
      </c>
      <c r="Q138" s="219">
        <v>0</v>
      </c>
      <c r="R138" s="219">
        <v>0</v>
      </c>
      <c r="S138" s="15"/>
    </row>
    <row r="139" spans="1:19" ht="15" hidden="1" outlineLevel="2">
      <c r="A139" s="26" t="s">
        <v>136</v>
      </c>
      <c r="B139" s="33">
        <v>3002</v>
      </c>
      <c r="C139" s="90">
        <v>330205</v>
      </c>
      <c r="D139" s="56" t="s">
        <v>243</v>
      </c>
      <c r="E139" s="450"/>
      <c r="F139" s="231">
        <f>430000-79000</f>
        <v>351000</v>
      </c>
      <c r="G139" s="252">
        <v>357534</v>
      </c>
      <c r="H139" s="213">
        <v>365000</v>
      </c>
      <c r="I139" s="178">
        <v>349534</v>
      </c>
      <c r="J139" s="178">
        <v>0</v>
      </c>
      <c r="K139" s="178">
        <f t="shared" si="146"/>
        <v>349534</v>
      </c>
      <c r="L139" s="420">
        <v>0</v>
      </c>
      <c r="M139" s="178"/>
      <c r="N139" s="178"/>
      <c r="O139" s="178">
        <f t="shared" si="147"/>
        <v>0</v>
      </c>
      <c r="P139" s="296">
        <v>0</v>
      </c>
      <c r="Q139" s="296">
        <v>0</v>
      </c>
      <c r="R139" s="296">
        <v>0</v>
      </c>
      <c r="S139" s="15"/>
    </row>
    <row r="140" spans="1:19" ht="15" hidden="1" outlineLevel="2">
      <c r="A140" s="26" t="s">
        <v>2</v>
      </c>
      <c r="B140" s="34" t="s">
        <v>158</v>
      </c>
      <c r="C140" s="112">
        <v>330299</v>
      </c>
      <c r="D140" s="55" t="s">
        <v>79</v>
      </c>
      <c r="E140" s="449"/>
      <c r="F140" s="226">
        <f t="shared" ref="F140:G140" si="148">SUM(F136:F139)</f>
        <v>362100</v>
      </c>
      <c r="G140" s="245">
        <f t="shared" si="148"/>
        <v>368290</v>
      </c>
      <c r="H140" s="179">
        <f t="shared" ref="H140:N140" si="149">SUM(H136:H139)</f>
        <v>376300</v>
      </c>
      <c r="I140" s="179">
        <f t="shared" si="149"/>
        <v>356688</v>
      </c>
      <c r="J140" s="179">
        <f t="shared" si="149"/>
        <v>0</v>
      </c>
      <c r="K140" s="179">
        <f t="shared" si="146"/>
        <v>356688</v>
      </c>
      <c r="L140" s="419">
        <f t="shared" si="149"/>
        <v>0</v>
      </c>
      <c r="M140" s="179">
        <f t="shared" si="149"/>
        <v>0</v>
      </c>
      <c r="N140" s="179">
        <f t="shared" si="149"/>
        <v>0</v>
      </c>
      <c r="O140" s="179">
        <f t="shared" ref="O140" si="150">M140+N140</f>
        <v>0</v>
      </c>
      <c r="P140" s="220">
        <f t="shared" ref="P140:Q140" si="151">SUM(P136:P139)</f>
        <v>0</v>
      </c>
      <c r="Q140" s="220">
        <f t="shared" si="151"/>
        <v>0</v>
      </c>
      <c r="R140" s="220">
        <f t="shared" ref="R140" si="152">SUM(R136:R139)</f>
        <v>0</v>
      </c>
      <c r="S140" s="23"/>
    </row>
    <row r="141" spans="1:19" ht="9" hidden="1" customHeight="1" outlineLevel="1">
      <c r="B141" s="33"/>
      <c r="D141" s="56"/>
      <c r="E141" s="449"/>
      <c r="F141" s="219"/>
      <c r="G141" s="247"/>
      <c r="H141" s="118"/>
      <c r="I141" s="118"/>
      <c r="J141" s="118"/>
      <c r="K141" s="118"/>
      <c r="L141" s="339"/>
      <c r="M141" s="118"/>
      <c r="N141" s="118"/>
      <c r="O141" s="118"/>
      <c r="P141" s="219"/>
      <c r="Q141" s="219"/>
      <c r="R141" s="219"/>
      <c r="S141" s="15"/>
    </row>
    <row r="142" spans="1:19" ht="15" hidden="1" outlineLevel="1" collapsed="1">
      <c r="A142" s="26" t="s">
        <v>0</v>
      </c>
      <c r="B142" s="33">
        <v>3010</v>
      </c>
      <c r="C142" s="112">
        <v>330300</v>
      </c>
      <c r="D142" s="55" t="s">
        <v>16</v>
      </c>
      <c r="E142" s="448"/>
      <c r="F142" s="219"/>
      <c r="G142" s="247"/>
      <c r="H142" s="118">
        <f t="shared" ref="H142:R142" si="153">H147</f>
        <v>10000</v>
      </c>
      <c r="I142" s="118">
        <f t="shared" si="153"/>
        <v>10795</v>
      </c>
      <c r="J142" s="118">
        <f t="shared" si="153"/>
        <v>0</v>
      </c>
      <c r="K142" s="118">
        <f t="shared" si="153"/>
        <v>10795</v>
      </c>
      <c r="L142" s="339">
        <f t="shared" si="153"/>
        <v>10000</v>
      </c>
      <c r="M142" s="118">
        <f t="shared" si="153"/>
        <v>0</v>
      </c>
      <c r="N142" s="118">
        <f t="shared" si="153"/>
        <v>0</v>
      </c>
      <c r="O142" s="118">
        <f t="shared" si="153"/>
        <v>0</v>
      </c>
      <c r="P142" s="219">
        <f t="shared" si="153"/>
        <v>10000</v>
      </c>
      <c r="Q142" s="219">
        <f t="shared" si="153"/>
        <v>10000</v>
      </c>
      <c r="R142" s="219">
        <f t="shared" si="153"/>
        <v>10000</v>
      </c>
      <c r="S142" s="24"/>
    </row>
    <row r="143" spans="1:19" ht="15" hidden="1" outlineLevel="2">
      <c r="A143" s="26" t="s">
        <v>136</v>
      </c>
      <c r="B143" s="34" t="s">
        <v>85</v>
      </c>
      <c r="C143" s="90">
        <v>330301</v>
      </c>
      <c r="D143" s="56" t="s">
        <v>244</v>
      </c>
      <c r="E143" s="449"/>
      <c r="F143" s="227">
        <v>7500</v>
      </c>
      <c r="G143" s="247">
        <v>0</v>
      </c>
      <c r="H143" s="118">
        <v>0</v>
      </c>
      <c r="I143" s="118"/>
      <c r="J143" s="118"/>
      <c r="K143" s="118">
        <f>I143+J143</f>
        <v>0</v>
      </c>
      <c r="L143" s="339">
        <v>0</v>
      </c>
      <c r="M143" s="118"/>
      <c r="N143" s="118"/>
      <c r="O143" s="118">
        <f>M143+N143</f>
        <v>0</v>
      </c>
      <c r="P143" s="219">
        <v>0</v>
      </c>
      <c r="Q143" s="219">
        <v>0</v>
      </c>
      <c r="R143" s="219">
        <v>0</v>
      </c>
      <c r="S143" s="24"/>
    </row>
    <row r="144" spans="1:19" ht="15" hidden="1" outlineLevel="2">
      <c r="A144" s="26" t="s">
        <v>136</v>
      </c>
      <c r="B144" s="34" t="s">
        <v>85</v>
      </c>
      <c r="C144" s="90">
        <v>330302</v>
      </c>
      <c r="D144" s="56" t="s">
        <v>245</v>
      </c>
      <c r="E144" s="449"/>
      <c r="F144" s="227">
        <v>7500</v>
      </c>
      <c r="G144" s="247">
        <v>227</v>
      </c>
      <c r="H144" s="118">
        <v>0</v>
      </c>
      <c r="I144" s="118"/>
      <c r="J144" s="118"/>
      <c r="K144" s="118">
        <f>I144+J144</f>
        <v>0</v>
      </c>
      <c r="L144" s="339"/>
      <c r="M144" s="118"/>
      <c r="N144" s="118"/>
      <c r="O144" s="118">
        <f>M144+N144</f>
        <v>0</v>
      </c>
      <c r="P144" s="219"/>
      <c r="Q144" s="219"/>
      <c r="R144" s="219"/>
      <c r="S144" s="21"/>
    </row>
    <row r="145" spans="1:19" ht="15" hidden="1" outlineLevel="2">
      <c r="A145" s="26" t="s">
        <v>136</v>
      </c>
      <c r="B145" s="34" t="s">
        <v>85</v>
      </c>
      <c r="C145" s="90">
        <v>330303</v>
      </c>
      <c r="D145" s="56" t="s">
        <v>246</v>
      </c>
      <c r="E145" s="449"/>
      <c r="F145" s="227">
        <v>0</v>
      </c>
      <c r="G145" s="247">
        <v>0</v>
      </c>
      <c r="H145" s="118">
        <v>0</v>
      </c>
      <c r="I145" s="118"/>
      <c r="J145" s="118"/>
      <c r="K145" s="118">
        <f>I145+J145</f>
        <v>0</v>
      </c>
      <c r="L145" s="339"/>
      <c r="M145" s="118"/>
      <c r="N145" s="118"/>
      <c r="O145" s="118">
        <f>M145+N145</f>
        <v>0</v>
      </c>
      <c r="P145" s="219"/>
      <c r="Q145" s="219"/>
      <c r="R145" s="219"/>
      <c r="S145" s="15"/>
    </row>
    <row r="146" spans="1:19" ht="15" hidden="1" outlineLevel="2">
      <c r="A146" s="26" t="s">
        <v>136</v>
      </c>
      <c r="B146" s="34"/>
      <c r="C146" s="90">
        <v>330304</v>
      </c>
      <c r="D146" s="56" t="s">
        <v>247</v>
      </c>
      <c r="E146" s="449"/>
      <c r="F146" s="229">
        <v>10000</v>
      </c>
      <c r="G146" s="249">
        <v>9460</v>
      </c>
      <c r="H146" s="178">
        <v>10000</v>
      </c>
      <c r="I146" s="178">
        <v>10795</v>
      </c>
      <c r="J146" s="178">
        <v>0</v>
      </c>
      <c r="K146" s="178">
        <f>I146+J146</f>
        <v>10795</v>
      </c>
      <c r="L146" s="420">
        <v>10000</v>
      </c>
      <c r="M146" s="178"/>
      <c r="N146" s="178"/>
      <c r="O146" s="178">
        <f>M146+N146</f>
        <v>0</v>
      </c>
      <c r="P146" s="296">
        <v>10000</v>
      </c>
      <c r="Q146" s="296">
        <v>10000</v>
      </c>
      <c r="R146" s="296">
        <v>10000</v>
      </c>
      <c r="S146" s="15"/>
    </row>
    <row r="147" spans="1:19" ht="15" hidden="1" outlineLevel="2">
      <c r="A147" s="26" t="s">
        <v>2</v>
      </c>
      <c r="B147" s="34" t="s">
        <v>158</v>
      </c>
      <c r="C147" s="112">
        <v>330399</v>
      </c>
      <c r="D147" s="55" t="s">
        <v>88</v>
      </c>
      <c r="E147" s="449"/>
      <c r="F147" s="226">
        <f t="shared" ref="F147:G147" si="154">SUM(F143:F146)</f>
        <v>25000</v>
      </c>
      <c r="G147" s="245">
        <f t="shared" si="154"/>
        <v>9687</v>
      </c>
      <c r="H147" s="179">
        <f t="shared" ref="H147:N147" si="155">SUM(H143:H146)</f>
        <v>10000</v>
      </c>
      <c r="I147" s="179">
        <f t="shared" si="155"/>
        <v>10795</v>
      </c>
      <c r="J147" s="179">
        <f t="shared" si="155"/>
        <v>0</v>
      </c>
      <c r="K147" s="179">
        <f>I147+J147</f>
        <v>10795</v>
      </c>
      <c r="L147" s="419">
        <f t="shared" si="155"/>
        <v>10000</v>
      </c>
      <c r="M147" s="179">
        <f t="shared" si="155"/>
        <v>0</v>
      </c>
      <c r="N147" s="179">
        <f t="shared" si="155"/>
        <v>0</v>
      </c>
      <c r="O147" s="179">
        <f>M147+N147</f>
        <v>0</v>
      </c>
      <c r="P147" s="220">
        <f t="shared" ref="P147:Q147" si="156">SUM(P143:P146)</f>
        <v>10000</v>
      </c>
      <c r="Q147" s="220">
        <f t="shared" si="156"/>
        <v>10000</v>
      </c>
      <c r="R147" s="220">
        <f t="shared" ref="R147" si="157">SUM(R143:R146)</f>
        <v>10000</v>
      </c>
      <c r="S147" s="21"/>
    </row>
    <row r="148" spans="1:19" ht="9" hidden="1" customHeight="1" outlineLevel="1">
      <c r="B148" s="33"/>
      <c r="D148" s="55"/>
      <c r="E148" s="449"/>
      <c r="F148" s="227"/>
      <c r="G148" s="245"/>
      <c r="H148" s="118"/>
      <c r="I148" s="118"/>
      <c r="J148" s="118"/>
      <c r="K148" s="118"/>
      <c r="L148" s="339"/>
      <c r="M148" s="118"/>
      <c r="N148" s="118"/>
      <c r="O148" s="118"/>
      <c r="P148" s="219"/>
      <c r="Q148" s="219"/>
      <c r="R148" s="219"/>
      <c r="S148" s="21"/>
    </row>
    <row r="149" spans="1:19" ht="15" hidden="1" outlineLevel="1" collapsed="1">
      <c r="A149" s="26" t="s">
        <v>0</v>
      </c>
      <c r="B149" s="33"/>
      <c r="C149" s="90">
        <v>338800</v>
      </c>
      <c r="D149" s="55" t="s">
        <v>248</v>
      </c>
      <c r="E149" s="448"/>
      <c r="F149" s="227"/>
      <c r="G149" s="247"/>
      <c r="H149" s="118">
        <f>H157</f>
        <v>134000</v>
      </c>
      <c r="I149" s="118">
        <f t="shared" ref="I149:O149" si="158">I157</f>
        <v>87132</v>
      </c>
      <c r="J149" s="118">
        <f t="shared" si="158"/>
        <v>0</v>
      </c>
      <c r="K149" s="118">
        <f t="shared" si="158"/>
        <v>87132</v>
      </c>
      <c r="L149" s="339">
        <f>L157</f>
        <v>5400</v>
      </c>
      <c r="M149" s="118">
        <f t="shared" si="158"/>
        <v>6706</v>
      </c>
      <c r="N149" s="118">
        <f t="shared" si="158"/>
        <v>0</v>
      </c>
      <c r="O149" s="118">
        <f t="shared" si="158"/>
        <v>6706</v>
      </c>
      <c r="P149" s="219">
        <f>P157</f>
        <v>5400</v>
      </c>
      <c r="Q149" s="219">
        <f>Q157</f>
        <v>5400</v>
      </c>
      <c r="R149" s="219">
        <f>R157</f>
        <v>5400</v>
      </c>
      <c r="S149"/>
    </row>
    <row r="150" spans="1:19" hidden="1" outlineLevel="2">
      <c r="A150" s="26" t="s">
        <v>136</v>
      </c>
      <c r="B150" s="33"/>
      <c r="C150" s="90">
        <v>338801</v>
      </c>
      <c r="D150" s="56" t="s">
        <v>404</v>
      </c>
      <c r="E150" s="449"/>
      <c r="F150" s="227">
        <v>1200</v>
      </c>
      <c r="G150" s="247">
        <v>750</v>
      </c>
      <c r="H150" s="118">
        <v>1000</v>
      </c>
      <c r="I150" s="118">
        <v>376</v>
      </c>
      <c r="J150" s="73"/>
      <c r="K150" s="118">
        <f t="shared" ref="K150:K157" si="159">I150+J150</f>
        <v>376</v>
      </c>
      <c r="L150" s="339">
        <v>400</v>
      </c>
      <c r="M150" s="118">
        <v>376</v>
      </c>
      <c r="N150" s="118"/>
      <c r="O150" s="118">
        <f t="shared" ref="O150:O157" si="160">M150+N150</f>
        <v>376</v>
      </c>
      <c r="P150" s="219">
        <v>400</v>
      </c>
      <c r="Q150" s="219">
        <v>400</v>
      </c>
      <c r="R150" s="219">
        <v>400</v>
      </c>
      <c r="S150" s="44"/>
    </row>
    <row r="151" spans="1:19" ht="15" hidden="1" outlineLevel="2">
      <c r="A151" s="26" t="s">
        <v>136</v>
      </c>
      <c r="B151" s="33">
        <v>3011</v>
      </c>
      <c r="C151" s="90">
        <v>338811</v>
      </c>
      <c r="D151" s="56" t="s">
        <v>30</v>
      </c>
      <c r="E151" s="451" t="s">
        <v>511</v>
      </c>
      <c r="F151" s="227">
        <v>80000</v>
      </c>
      <c r="G151" s="248">
        <v>89904</v>
      </c>
      <c r="H151" s="118">
        <v>75000</v>
      </c>
      <c r="I151" s="118">
        <v>52593</v>
      </c>
      <c r="J151" s="118">
        <v>0</v>
      </c>
      <c r="K151" s="118">
        <f t="shared" si="159"/>
        <v>52593</v>
      </c>
      <c r="L151" s="339">
        <v>5000</v>
      </c>
      <c r="M151" s="118">
        <v>6330</v>
      </c>
      <c r="N151" s="118"/>
      <c r="O151" s="118">
        <f t="shared" si="160"/>
        <v>6330</v>
      </c>
      <c r="P151" s="219">
        <v>5000</v>
      </c>
      <c r="Q151" s="219">
        <v>5000</v>
      </c>
      <c r="R151" s="219">
        <v>5000</v>
      </c>
      <c r="S151"/>
    </row>
    <row r="152" spans="1:19" ht="15" hidden="1" outlineLevel="2">
      <c r="A152" s="26" t="s">
        <v>136</v>
      </c>
      <c r="B152" s="33">
        <v>3000</v>
      </c>
      <c r="C152" s="90">
        <v>338821</v>
      </c>
      <c r="D152" s="56" t="s">
        <v>48</v>
      </c>
      <c r="E152" s="449"/>
      <c r="F152" s="227">
        <v>40000</v>
      </c>
      <c r="G152" s="247">
        <v>60000</v>
      </c>
      <c r="H152" s="118">
        <v>20000</v>
      </c>
      <c r="I152" s="118">
        <v>0</v>
      </c>
      <c r="J152" s="118">
        <v>0</v>
      </c>
      <c r="K152" s="118">
        <f t="shared" si="159"/>
        <v>0</v>
      </c>
      <c r="L152" s="339"/>
      <c r="M152" s="118"/>
      <c r="N152" s="118"/>
      <c r="O152" s="118">
        <f t="shared" si="160"/>
        <v>0</v>
      </c>
      <c r="P152" s="219"/>
      <c r="Q152" s="219"/>
      <c r="R152" s="219"/>
      <c r="S152"/>
    </row>
    <row r="153" spans="1:19" ht="15" hidden="1" outlineLevel="2">
      <c r="A153" s="26" t="s">
        <v>136</v>
      </c>
      <c r="B153" s="33">
        <v>3001</v>
      </c>
      <c r="C153" s="90">
        <v>338822</v>
      </c>
      <c r="D153" s="56" t="s">
        <v>250</v>
      </c>
      <c r="E153" s="449"/>
      <c r="F153" s="227">
        <v>24000</v>
      </c>
      <c r="G153" s="247">
        <v>17047</v>
      </c>
      <c r="H153" s="118">
        <v>22000</v>
      </c>
      <c r="I153" s="118">
        <v>10500</v>
      </c>
      <c r="J153" s="118">
        <v>0</v>
      </c>
      <c r="K153" s="118">
        <f t="shared" si="159"/>
        <v>10500</v>
      </c>
      <c r="L153" s="339"/>
      <c r="M153" s="118"/>
      <c r="N153" s="118"/>
      <c r="O153" s="118">
        <f t="shared" si="160"/>
        <v>0</v>
      </c>
      <c r="P153" s="219"/>
      <c r="Q153" s="219"/>
      <c r="R153" s="219"/>
      <c r="S153"/>
    </row>
    <row r="154" spans="1:19" ht="15" hidden="1" outlineLevel="2">
      <c r="A154" s="26" t="s">
        <v>136</v>
      </c>
      <c r="B154" s="33">
        <v>3005</v>
      </c>
      <c r="C154" s="90">
        <v>338825</v>
      </c>
      <c r="D154" s="56" t="s">
        <v>49</v>
      </c>
      <c r="E154" s="449"/>
      <c r="F154" s="227">
        <v>10000</v>
      </c>
      <c r="G154" s="248">
        <v>6116</v>
      </c>
      <c r="H154" s="118">
        <v>10000</v>
      </c>
      <c r="I154" s="118">
        <v>13500</v>
      </c>
      <c r="J154" s="118"/>
      <c r="K154" s="118">
        <f t="shared" si="159"/>
        <v>13500</v>
      </c>
      <c r="L154" s="339"/>
      <c r="M154" s="118"/>
      <c r="N154" s="118"/>
      <c r="O154" s="118">
        <f t="shared" si="160"/>
        <v>0</v>
      </c>
      <c r="P154" s="219"/>
      <c r="Q154" s="219"/>
      <c r="R154" s="219"/>
      <c r="S154" s="21"/>
    </row>
    <row r="155" spans="1:19" ht="15" hidden="1" outlineLevel="2">
      <c r="A155" s="26" t="s">
        <v>136</v>
      </c>
      <c r="B155" s="38">
        <v>3027</v>
      </c>
      <c r="C155" s="90">
        <v>338827</v>
      </c>
      <c r="D155" s="56" t="s">
        <v>105</v>
      </c>
      <c r="E155" s="449"/>
      <c r="F155" s="227">
        <v>6000</v>
      </c>
      <c r="G155" s="248">
        <v>5654</v>
      </c>
      <c r="H155" s="118">
        <v>6000</v>
      </c>
      <c r="I155" s="118">
        <v>10163</v>
      </c>
      <c r="J155" s="73">
        <v>0</v>
      </c>
      <c r="K155" s="118">
        <f t="shared" si="159"/>
        <v>10163</v>
      </c>
      <c r="L155" s="339"/>
      <c r="M155" s="118"/>
      <c r="N155" s="118"/>
      <c r="O155" s="118">
        <f t="shared" si="160"/>
        <v>0</v>
      </c>
      <c r="P155" s="219"/>
      <c r="Q155" s="219"/>
      <c r="R155" s="219"/>
      <c r="S155"/>
    </row>
    <row r="156" spans="1:19" ht="15" hidden="1" outlineLevel="2">
      <c r="A156" s="26" t="s">
        <v>136</v>
      </c>
      <c r="B156" s="38">
        <v>3070</v>
      </c>
      <c r="C156" s="90">
        <v>338870</v>
      </c>
      <c r="D156" s="56" t="s">
        <v>33</v>
      </c>
      <c r="E156" s="452"/>
      <c r="F156" s="229">
        <v>10000</v>
      </c>
      <c r="G156" s="249">
        <v>0</v>
      </c>
      <c r="H156" s="178">
        <v>0</v>
      </c>
      <c r="I156" s="178">
        <v>0</v>
      </c>
      <c r="J156" s="178">
        <v>0</v>
      </c>
      <c r="K156" s="178">
        <f t="shared" si="159"/>
        <v>0</v>
      </c>
      <c r="L156" s="420">
        <v>0</v>
      </c>
      <c r="M156" s="178"/>
      <c r="N156" s="178"/>
      <c r="O156" s="178">
        <f t="shared" si="160"/>
        <v>0</v>
      </c>
      <c r="P156" s="296">
        <v>0</v>
      </c>
      <c r="Q156" s="296">
        <v>0</v>
      </c>
      <c r="R156" s="296">
        <v>0</v>
      </c>
      <c r="S156"/>
    </row>
    <row r="157" spans="1:19" ht="15" hidden="1" outlineLevel="2">
      <c r="A157" s="26" t="s">
        <v>2</v>
      </c>
      <c r="B157" s="33"/>
      <c r="C157" s="112">
        <v>338899</v>
      </c>
      <c r="D157" s="55" t="s">
        <v>251</v>
      </c>
      <c r="E157" s="449"/>
      <c r="F157" s="226">
        <f t="shared" ref="F157:G157" si="161">SUM(F150:F156)</f>
        <v>171200</v>
      </c>
      <c r="G157" s="245">
        <f t="shared" si="161"/>
        <v>179471</v>
      </c>
      <c r="H157" s="179">
        <f t="shared" ref="H157:J157" si="162">SUM(H150:H156)</f>
        <v>134000</v>
      </c>
      <c r="I157" s="179">
        <f t="shared" si="162"/>
        <v>87132</v>
      </c>
      <c r="J157" s="179">
        <f t="shared" si="162"/>
        <v>0</v>
      </c>
      <c r="K157" s="179">
        <f t="shared" si="159"/>
        <v>87132</v>
      </c>
      <c r="L157" s="419">
        <f t="shared" ref="L157:P157" si="163">SUM(L150:L156)</f>
        <v>5400</v>
      </c>
      <c r="M157" s="179">
        <f t="shared" si="163"/>
        <v>6706</v>
      </c>
      <c r="N157" s="179">
        <f t="shared" si="163"/>
        <v>0</v>
      </c>
      <c r="O157" s="179">
        <f t="shared" si="160"/>
        <v>6706</v>
      </c>
      <c r="P157" s="220">
        <f t="shared" si="163"/>
        <v>5400</v>
      </c>
      <c r="Q157" s="220">
        <f t="shared" ref="Q157:R157" si="164">SUM(Q150:Q156)</f>
        <v>5400</v>
      </c>
      <c r="R157" s="220">
        <f t="shared" si="164"/>
        <v>5400</v>
      </c>
      <c r="S157" s="25"/>
    </row>
    <row r="158" spans="1:19" ht="9" hidden="1" customHeight="1" outlineLevel="1">
      <c r="B158" s="33"/>
      <c r="D158" s="56"/>
      <c r="E158" s="449"/>
      <c r="F158" s="227"/>
      <c r="G158" s="247"/>
      <c r="H158" s="118"/>
      <c r="I158" s="118"/>
      <c r="J158" s="118"/>
      <c r="K158" s="118"/>
      <c r="L158" s="339"/>
      <c r="M158" s="118"/>
      <c r="N158" s="118"/>
      <c r="O158" s="118"/>
      <c r="P158" s="219"/>
      <c r="Q158" s="219"/>
      <c r="R158" s="219"/>
      <c r="S158" s="15"/>
    </row>
    <row r="159" spans="1:19" ht="15" hidden="1" outlineLevel="1">
      <c r="A159" s="26" t="s">
        <v>2</v>
      </c>
      <c r="B159" s="33"/>
      <c r="C159" s="112">
        <v>399999</v>
      </c>
      <c r="D159" s="55" t="s">
        <v>66</v>
      </c>
      <c r="E159" s="448"/>
      <c r="F159" s="226">
        <f t="shared" ref="F159:G159" si="165">F133+F140+F147+F157</f>
        <v>561900</v>
      </c>
      <c r="G159" s="245">
        <f t="shared" si="165"/>
        <v>557448</v>
      </c>
      <c r="H159" s="179">
        <f t="shared" ref="H159:O159" si="166">H133+H140+H147+H157</f>
        <v>523000</v>
      </c>
      <c r="I159" s="179">
        <f t="shared" si="166"/>
        <v>454963</v>
      </c>
      <c r="J159" s="179">
        <f t="shared" si="166"/>
        <v>0</v>
      </c>
      <c r="K159" s="179">
        <f>I159+J159</f>
        <v>454963</v>
      </c>
      <c r="L159" s="419">
        <f t="shared" si="166"/>
        <v>21400</v>
      </c>
      <c r="M159" s="220">
        <f t="shared" si="166"/>
        <v>7233</v>
      </c>
      <c r="N159" s="179">
        <f t="shared" si="166"/>
        <v>0</v>
      </c>
      <c r="O159" s="251">
        <f t="shared" si="166"/>
        <v>7233</v>
      </c>
      <c r="P159" s="220">
        <f t="shared" ref="P159:Q159" si="167">P133+P140+P147+P157</f>
        <v>21400</v>
      </c>
      <c r="Q159" s="220">
        <f t="shared" si="167"/>
        <v>21400</v>
      </c>
      <c r="R159" s="220">
        <f t="shared" ref="R159" si="168">R133+R140+R147+R157</f>
        <v>21400</v>
      </c>
      <c r="S159"/>
    </row>
    <row r="160" spans="1:19" ht="12.75" customHeight="1" collapsed="1">
      <c r="A160" s="26" t="s">
        <v>0</v>
      </c>
      <c r="B160" s="33"/>
      <c r="C160" s="112">
        <v>340000</v>
      </c>
      <c r="D160" s="52" t="s">
        <v>9</v>
      </c>
      <c r="E160" s="447" t="s">
        <v>597</v>
      </c>
      <c r="F160" s="227">
        <f t="shared" ref="F160" si="169">F185</f>
        <v>706000</v>
      </c>
      <c r="G160" s="247">
        <f t="shared" ref="G160" si="170">G185</f>
        <v>613399</v>
      </c>
      <c r="H160" s="118">
        <f t="shared" ref="H160:O160" si="171">H185</f>
        <v>633500</v>
      </c>
      <c r="I160" s="118">
        <f t="shared" si="171"/>
        <v>596466</v>
      </c>
      <c r="J160" s="118">
        <f t="shared" si="171"/>
        <v>0</v>
      </c>
      <c r="K160" s="118">
        <f t="shared" si="171"/>
        <v>596466</v>
      </c>
      <c r="L160" s="339">
        <f t="shared" si="171"/>
        <v>218200</v>
      </c>
      <c r="M160" s="118">
        <f t="shared" si="171"/>
        <v>278928.25999999995</v>
      </c>
      <c r="N160" s="118">
        <f t="shared" si="171"/>
        <v>0</v>
      </c>
      <c r="O160" s="118">
        <f t="shared" si="171"/>
        <v>278928.25999999995</v>
      </c>
      <c r="P160" s="219">
        <f t="shared" ref="P160:Q160" si="172">P185</f>
        <v>230000</v>
      </c>
      <c r="Q160" s="219">
        <f t="shared" si="172"/>
        <v>157000</v>
      </c>
      <c r="R160" s="219">
        <f t="shared" ref="R160" si="173">R185</f>
        <v>202000</v>
      </c>
      <c r="S160" s="26"/>
    </row>
    <row r="161" spans="1:19" hidden="1" outlineLevel="1" collapsed="1">
      <c r="A161" s="26" t="s">
        <v>0</v>
      </c>
      <c r="B161" s="33"/>
      <c r="C161" s="112">
        <v>340100</v>
      </c>
      <c r="D161" s="55" t="s">
        <v>259</v>
      </c>
      <c r="E161" s="448"/>
      <c r="F161" s="227"/>
      <c r="G161" s="247"/>
      <c r="H161" s="118">
        <f>H166</f>
        <v>7000</v>
      </c>
      <c r="I161" s="118">
        <f t="shared" ref="I161:O161" si="174">I166</f>
        <v>6106</v>
      </c>
      <c r="J161" s="118">
        <f t="shared" si="174"/>
        <v>0</v>
      </c>
      <c r="K161" s="118">
        <f t="shared" si="174"/>
        <v>6106</v>
      </c>
      <c r="L161" s="339">
        <f>L166</f>
        <v>6000</v>
      </c>
      <c r="M161" s="118">
        <f t="shared" si="174"/>
        <v>5033.3500000000004</v>
      </c>
      <c r="N161" s="118">
        <f t="shared" si="174"/>
        <v>0</v>
      </c>
      <c r="O161" s="118">
        <f t="shared" si="174"/>
        <v>5033.3500000000004</v>
      </c>
      <c r="P161" s="219">
        <f>P166</f>
        <v>6000</v>
      </c>
      <c r="Q161" s="219">
        <f>Q166</f>
        <v>6000</v>
      </c>
      <c r="R161" s="219">
        <f>R166</f>
        <v>6000</v>
      </c>
      <c r="S161" s="26"/>
    </row>
    <row r="162" spans="1:19" hidden="1" outlineLevel="2">
      <c r="A162" s="44" t="s">
        <v>136</v>
      </c>
      <c r="B162" s="33">
        <v>5093</v>
      </c>
      <c r="C162" s="90">
        <v>340101</v>
      </c>
      <c r="D162" s="56" t="s">
        <v>31</v>
      </c>
      <c r="E162" s="449"/>
      <c r="F162" s="227">
        <v>500</v>
      </c>
      <c r="G162" s="247">
        <v>0</v>
      </c>
      <c r="H162" s="118">
        <v>500</v>
      </c>
      <c r="I162" s="118">
        <v>0</v>
      </c>
      <c r="J162" s="118">
        <v>0</v>
      </c>
      <c r="K162" s="118">
        <f t="shared" ref="K162:K167" si="175">I162+J162</f>
        <v>0</v>
      </c>
      <c r="L162" s="339">
        <v>0</v>
      </c>
      <c r="M162" s="118"/>
      <c r="N162" s="118"/>
      <c r="O162" s="118">
        <f t="shared" ref="O162:O166" si="176">M162+N162</f>
        <v>0</v>
      </c>
      <c r="P162" s="219">
        <v>0</v>
      </c>
      <c r="Q162" s="219">
        <v>0</v>
      </c>
      <c r="R162" s="219">
        <v>0</v>
      </c>
      <c r="S162" s="26"/>
    </row>
    <row r="163" spans="1:19" hidden="1" outlineLevel="2">
      <c r="A163" s="44" t="s">
        <v>136</v>
      </c>
      <c r="B163" s="33">
        <v>5071</v>
      </c>
      <c r="C163" s="90">
        <v>340102</v>
      </c>
      <c r="D163" s="56" t="s">
        <v>29</v>
      </c>
      <c r="E163" s="449"/>
      <c r="F163" s="227">
        <v>4000</v>
      </c>
      <c r="G163" s="248">
        <v>5067</v>
      </c>
      <c r="H163" s="118">
        <v>5000</v>
      </c>
      <c r="I163" s="118">
        <v>5881</v>
      </c>
      <c r="J163" s="118"/>
      <c r="K163" s="118">
        <f t="shared" si="175"/>
        <v>5881</v>
      </c>
      <c r="L163" s="339">
        <v>5000</v>
      </c>
      <c r="M163" s="118">
        <v>5033.3500000000004</v>
      </c>
      <c r="N163" s="118"/>
      <c r="O163" s="118">
        <f t="shared" si="176"/>
        <v>5033.3500000000004</v>
      </c>
      <c r="P163" s="219">
        <v>5000</v>
      </c>
      <c r="Q163" s="219">
        <v>5000</v>
      </c>
      <c r="R163" s="219">
        <v>5000</v>
      </c>
      <c r="S163" s="26"/>
    </row>
    <row r="164" spans="1:19" hidden="1" outlineLevel="2">
      <c r="A164" s="44" t="s">
        <v>136</v>
      </c>
      <c r="B164" s="33">
        <v>5092</v>
      </c>
      <c r="C164" s="90">
        <v>340103</v>
      </c>
      <c r="D164" s="56" t="s">
        <v>32</v>
      </c>
      <c r="E164" s="449"/>
      <c r="F164" s="227">
        <v>3500</v>
      </c>
      <c r="G164" s="248">
        <v>484</v>
      </c>
      <c r="H164" s="118">
        <v>1500</v>
      </c>
      <c r="I164" s="118">
        <v>225</v>
      </c>
      <c r="J164" s="118">
        <v>0</v>
      </c>
      <c r="K164" s="118">
        <f t="shared" si="175"/>
        <v>225</v>
      </c>
      <c r="L164" s="339">
        <v>1000</v>
      </c>
      <c r="M164" s="118">
        <v>0</v>
      </c>
      <c r="N164" s="118"/>
      <c r="O164" s="118">
        <f t="shared" si="176"/>
        <v>0</v>
      </c>
      <c r="P164" s="219">
        <v>1000</v>
      </c>
      <c r="Q164" s="219">
        <v>1000</v>
      </c>
      <c r="R164" s="219">
        <v>1000</v>
      </c>
      <c r="S164" s="26"/>
    </row>
    <row r="165" spans="1:19" hidden="1" outlineLevel="2">
      <c r="A165" s="44" t="s">
        <v>136</v>
      </c>
      <c r="B165" s="33"/>
      <c r="C165" s="90">
        <v>340109</v>
      </c>
      <c r="D165" s="56" t="s">
        <v>252</v>
      </c>
      <c r="E165" s="449"/>
      <c r="F165" s="229">
        <v>0</v>
      </c>
      <c r="G165" s="249">
        <v>0</v>
      </c>
      <c r="H165" s="178">
        <v>0</v>
      </c>
      <c r="I165" s="178">
        <v>0</v>
      </c>
      <c r="J165" s="178">
        <v>0</v>
      </c>
      <c r="K165" s="178">
        <f t="shared" si="175"/>
        <v>0</v>
      </c>
      <c r="L165" s="420">
        <v>0</v>
      </c>
      <c r="M165" s="178">
        <v>0</v>
      </c>
      <c r="N165" s="178">
        <v>0</v>
      </c>
      <c r="O165" s="178">
        <f t="shared" si="176"/>
        <v>0</v>
      </c>
      <c r="P165" s="296">
        <v>0</v>
      </c>
      <c r="Q165" s="296">
        <v>0</v>
      </c>
      <c r="R165" s="296">
        <v>0</v>
      </c>
      <c r="S165" s="26"/>
    </row>
    <row r="166" spans="1:19" hidden="1" outlineLevel="2">
      <c r="A166" s="26" t="s">
        <v>2</v>
      </c>
      <c r="B166" s="36">
        <v>5079</v>
      </c>
      <c r="C166" s="112">
        <v>340199</v>
      </c>
      <c r="D166" s="55" t="s">
        <v>65</v>
      </c>
      <c r="E166" s="449"/>
      <c r="F166" s="226">
        <f>SUM(F162:F164)</f>
        <v>8000</v>
      </c>
      <c r="G166" s="245">
        <f>SUM(G162:G165)</f>
        <v>5551</v>
      </c>
      <c r="H166" s="179">
        <f>SUM(H162:H164)</f>
        <v>7000</v>
      </c>
      <c r="I166" s="179">
        <f>SUM(I162:I165)</f>
        <v>6106</v>
      </c>
      <c r="J166" s="179">
        <f>SUM(J162:J165)</f>
        <v>0</v>
      </c>
      <c r="K166" s="118">
        <f t="shared" si="175"/>
        <v>6106</v>
      </c>
      <c r="L166" s="419">
        <f>SUM(L162:L164)</f>
        <v>6000</v>
      </c>
      <c r="M166" s="179">
        <f>SUM(M162:M165)</f>
        <v>5033.3500000000004</v>
      </c>
      <c r="N166" s="179">
        <f>SUM(N162:N165)</f>
        <v>0</v>
      </c>
      <c r="O166" s="118">
        <f t="shared" si="176"/>
        <v>5033.3500000000004</v>
      </c>
      <c r="P166" s="220">
        <f>SUM(P162:P164)</f>
        <v>6000</v>
      </c>
      <c r="Q166" s="220">
        <f>SUM(Q162:Q164)</f>
        <v>6000</v>
      </c>
      <c r="R166" s="220">
        <f>SUM(R162:R164)</f>
        <v>6000</v>
      </c>
      <c r="S166" s="26"/>
    </row>
    <row r="167" spans="1:19" ht="9" hidden="1" customHeight="1" outlineLevel="1">
      <c r="B167" s="33"/>
      <c r="D167" s="55"/>
      <c r="E167" s="449"/>
      <c r="F167" s="227"/>
      <c r="G167" s="247"/>
      <c r="H167" s="118"/>
      <c r="I167" s="118"/>
      <c r="J167" s="118"/>
      <c r="K167" s="118">
        <f t="shared" si="175"/>
        <v>0</v>
      </c>
      <c r="L167" s="339"/>
      <c r="M167" s="118"/>
      <c r="N167" s="118"/>
      <c r="O167" s="118"/>
      <c r="P167" s="219"/>
      <c r="Q167" s="219"/>
      <c r="R167" s="219"/>
      <c r="S167" s="26"/>
    </row>
    <row r="168" spans="1:19" hidden="1" outlineLevel="1" collapsed="1">
      <c r="A168" s="26" t="s">
        <v>0</v>
      </c>
      <c r="B168" s="33"/>
      <c r="C168" s="112">
        <v>340200</v>
      </c>
      <c r="D168" s="55" t="s">
        <v>73</v>
      </c>
      <c r="E168" s="448"/>
      <c r="F168" s="227"/>
      <c r="G168" s="247"/>
      <c r="H168" s="118">
        <f>H183</f>
        <v>626500</v>
      </c>
      <c r="I168" s="118">
        <f t="shared" ref="I168:O168" si="177">I183</f>
        <v>590360</v>
      </c>
      <c r="J168" s="118">
        <f t="shared" si="177"/>
        <v>0</v>
      </c>
      <c r="K168" s="118">
        <f t="shared" si="177"/>
        <v>590360</v>
      </c>
      <c r="L168" s="339">
        <f>L183</f>
        <v>212200</v>
      </c>
      <c r="M168" s="118">
        <f t="shared" si="177"/>
        <v>273894.90999999997</v>
      </c>
      <c r="N168" s="118">
        <f t="shared" si="177"/>
        <v>0</v>
      </c>
      <c r="O168" s="118">
        <f t="shared" si="177"/>
        <v>273894.90999999997</v>
      </c>
      <c r="P168" s="219">
        <f>P183</f>
        <v>224000</v>
      </c>
      <c r="Q168" s="219">
        <f>Q183</f>
        <v>151000</v>
      </c>
      <c r="R168" s="219">
        <f>R183</f>
        <v>196000</v>
      </c>
      <c r="S168" s="26"/>
    </row>
    <row r="169" spans="1:19" hidden="1" outlineLevel="2">
      <c r="A169" s="44" t="s">
        <v>136</v>
      </c>
      <c r="B169" s="33">
        <v>5082</v>
      </c>
      <c r="C169" s="90">
        <v>340201</v>
      </c>
      <c r="D169" s="56" t="s">
        <v>370</v>
      </c>
      <c r="E169" s="448"/>
      <c r="F169" s="227">
        <v>191000</v>
      </c>
      <c r="G169" s="248">
        <v>165332</v>
      </c>
      <c r="H169" s="118">
        <v>203000</v>
      </c>
      <c r="I169" s="73">
        <v>183000</v>
      </c>
      <c r="J169" s="118">
        <v>0</v>
      </c>
      <c r="K169" s="118">
        <f t="shared" ref="K169:K183" si="178">I169+J169</f>
        <v>183000</v>
      </c>
      <c r="L169" s="339">
        <v>0</v>
      </c>
      <c r="M169" s="118"/>
      <c r="N169" s="118"/>
      <c r="O169" s="118">
        <f t="shared" ref="O169:O183" si="179">M169+N169</f>
        <v>0</v>
      </c>
      <c r="P169" s="219">
        <v>0</v>
      </c>
      <c r="Q169" s="219">
        <v>0</v>
      </c>
      <c r="R169" s="219">
        <v>0</v>
      </c>
    </row>
    <row r="170" spans="1:19" hidden="1" outlineLevel="2">
      <c r="A170" s="44" t="s">
        <v>136</v>
      </c>
      <c r="B170" s="33">
        <v>5080</v>
      </c>
      <c r="C170" s="90">
        <v>340205</v>
      </c>
      <c r="D170" s="56" t="s">
        <v>36</v>
      </c>
      <c r="E170" s="448"/>
      <c r="F170" s="228">
        <v>10000</v>
      </c>
      <c r="G170" s="247">
        <v>13677</v>
      </c>
      <c r="H170" s="73">
        <v>22500</v>
      </c>
      <c r="I170" s="73">
        <v>22318</v>
      </c>
      <c r="J170" s="73">
        <v>0</v>
      </c>
      <c r="K170" s="118">
        <f t="shared" si="178"/>
        <v>22318</v>
      </c>
      <c r="L170" s="339">
        <v>5000</v>
      </c>
      <c r="M170" s="118">
        <v>51291</v>
      </c>
      <c r="N170" s="118"/>
      <c r="O170" s="118">
        <f t="shared" si="179"/>
        <v>51291</v>
      </c>
      <c r="P170" s="219">
        <v>0</v>
      </c>
      <c r="Q170" s="219">
        <v>5000</v>
      </c>
      <c r="R170" s="219">
        <v>5000</v>
      </c>
    </row>
    <row r="171" spans="1:19" hidden="1" outlineLevel="2">
      <c r="A171" s="44" t="s">
        <v>136</v>
      </c>
      <c r="B171" s="33">
        <v>5083</v>
      </c>
      <c r="C171" s="90">
        <v>340207</v>
      </c>
      <c r="D171" s="56" t="s">
        <v>75</v>
      </c>
      <c r="E171" s="448"/>
      <c r="F171" s="227">
        <v>0</v>
      </c>
      <c r="G171" s="247">
        <v>6303</v>
      </c>
      <c r="H171" s="118">
        <v>2000</v>
      </c>
      <c r="I171" s="73">
        <v>8369</v>
      </c>
      <c r="J171" s="73">
        <v>0</v>
      </c>
      <c r="K171" s="118">
        <f t="shared" si="178"/>
        <v>8369</v>
      </c>
      <c r="L171" s="341">
        <v>0</v>
      </c>
      <c r="M171" s="73"/>
      <c r="N171" s="73"/>
      <c r="O171" s="118">
        <f t="shared" si="179"/>
        <v>0</v>
      </c>
      <c r="P171" s="298"/>
      <c r="Q171" s="298"/>
      <c r="R171" s="298"/>
    </row>
    <row r="172" spans="1:19" hidden="1" outlineLevel="2">
      <c r="A172" s="44" t="s">
        <v>136</v>
      </c>
      <c r="B172" s="33">
        <v>5085</v>
      </c>
      <c r="C172" s="90">
        <v>340208</v>
      </c>
      <c r="D172" s="56" t="s">
        <v>76</v>
      </c>
      <c r="E172" s="448"/>
      <c r="F172" s="227">
        <v>2000</v>
      </c>
      <c r="G172" s="247">
        <v>1200</v>
      </c>
      <c r="H172" s="118">
        <v>0</v>
      </c>
      <c r="I172" s="73">
        <v>5000</v>
      </c>
      <c r="J172" s="73"/>
      <c r="K172" s="118">
        <f t="shared" si="178"/>
        <v>5000</v>
      </c>
      <c r="L172" s="341">
        <v>0</v>
      </c>
      <c r="M172" s="73"/>
      <c r="N172" s="73"/>
      <c r="O172" s="118">
        <f t="shared" si="179"/>
        <v>0</v>
      </c>
      <c r="P172" s="298"/>
      <c r="Q172" s="298"/>
      <c r="R172" s="298"/>
    </row>
    <row r="173" spans="1:19" hidden="1" outlineLevel="2">
      <c r="A173" s="44"/>
      <c r="B173" s="38"/>
      <c r="C173" s="90">
        <v>340209</v>
      </c>
      <c r="D173" s="56" t="s">
        <v>303</v>
      </c>
      <c r="E173" s="448"/>
      <c r="F173" s="227">
        <v>0</v>
      </c>
      <c r="G173" s="247">
        <v>3600</v>
      </c>
      <c r="H173" s="118">
        <v>0</v>
      </c>
      <c r="I173" s="73">
        <v>0</v>
      </c>
      <c r="J173" s="73"/>
      <c r="K173" s="118">
        <f t="shared" si="178"/>
        <v>0</v>
      </c>
      <c r="L173" s="341">
        <v>0</v>
      </c>
      <c r="M173" s="73"/>
      <c r="N173" s="73"/>
      <c r="O173" s="118">
        <f t="shared" si="179"/>
        <v>0</v>
      </c>
      <c r="P173" s="298"/>
      <c r="Q173" s="298"/>
      <c r="R173" s="298"/>
    </row>
    <row r="174" spans="1:19" ht="15" hidden="1" customHeight="1" outlineLevel="2">
      <c r="A174" s="44" t="s">
        <v>136</v>
      </c>
      <c r="B174" s="38">
        <v>5060</v>
      </c>
      <c r="C174" s="90">
        <v>340212</v>
      </c>
      <c r="D174" s="56" t="s">
        <v>304</v>
      </c>
      <c r="E174" s="448"/>
      <c r="F174" s="227">
        <v>0</v>
      </c>
      <c r="G174" s="247">
        <v>36784</v>
      </c>
      <c r="H174" s="118">
        <v>30000</v>
      </c>
      <c r="I174" s="118">
        <v>10614</v>
      </c>
      <c r="J174" s="118"/>
      <c r="K174" s="118">
        <f t="shared" si="178"/>
        <v>10614</v>
      </c>
      <c r="L174" s="341">
        <v>0</v>
      </c>
      <c r="M174" s="242"/>
      <c r="N174" s="242"/>
      <c r="O174" s="118">
        <f t="shared" si="179"/>
        <v>0</v>
      </c>
      <c r="P174" s="299"/>
      <c r="Q174" s="299"/>
      <c r="R174" s="299"/>
    </row>
    <row r="175" spans="1:19" hidden="1" outlineLevel="2">
      <c r="A175" s="44" t="s">
        <v>136</v>
      </c>
      <c r="B175" s="33">
        <v>5020</v>
      </c>
      <c r="C175" s="90">
        <v>340214</v>
      </c>
      <c r="D175" s="56" t="s">
        <v>101</v>
      </c>
      <c r="E175" s="455" t="s">
        <v>576</v>
      </c>
      <c r="F175" s="227">
        <v>35000</v>
      </c>
      <c r="G175" s="247">
        <v>51242</v>
      </c>
      <c r="H175" s="118">
        <v>46000</v>
      </c>
      <c r="I175" s="73">
        <v>33587</v>
      </c>
      <c r="J175" s="73"/>
      <c r="K175" s="118">
        <f t="shared" si="178"/>
        <v>33587</v>
      </c>
      <c r="L175" s="341">
        <f>29000+7500</f>
        <v>36500</v>
      </c>
      <c r="M175" s="73">
        <v>40193.64</v>
      </c>
      <c r="N175" s="73"/>
      <c r="O175" s="118">
        <f t="shared" si="179"/>
        <v>40193.64</v>
      </c>
      <c r="P175" s="341">
        <f>40000+6000</f>
        <v>46000</v>
      </c>
      <c r="Q175" s="341">
        <f>37000+6000</f>
        <v>43000</v>
      </c>
      <c r="R175" s="298">
        <f>42000+6000</f>
        <v>48000</v>
      </c>
    </row>
    <row r="176" spans="1:19" hidden="1" outlineLevel="2">
      <c r="A176" s="44" t="s">
        <v>136</v>
      </c>
      <c r="B176" s="33">
        <v>5030</v>
      </c>
      <c r="C176" s="90">
        <v>340215</v>
      </c>
      <c r="D176" s="56" t="s">
        <v>176</v>
      </c>
      <c r="E176" s="454"/>
      <c r="F176" s="228">
        <v>12000</v>
      </c>
      <c r="G176" s="247">
        <v>3000</v>
      </c>
      <c r="H176" s="73">
        <v>0</v>
      </c>
      <c r="I176" s="73"/>
      <c r="J176" s="242"/>
      <c r="K176" s="118">
        <f t="shared" si="178"/>
        <v>0</v>
      </c>
      <c r="L176" s="341">
        <v>0</v>
      </c>
      <c r="M176" s="73"/>
      <c r="N176" s="73"/>
      <c r="O176" s="118">
        <f t="shared" si="179"/>
        <v>0</v>
      </c>
      <c r="P176" s="298"/>
      <c r="Q176" s="298"/>
      <c r="R176" s="298"/>
    </row>
    <row r="177" spans="1:21" hidden="1" outlineLevel="2">
      <c r="A177" s="44" t="s">
        <v>136</v>
      </c>
      <c r="B177" s="38">
        <v>5065</v>
      </c>
      <c r="C177" s="90">
        <v>340216</v>
      </c>
      <c r="D177" s="56" t="s">
        <v>256</v>
      </c>
      <c r="E177" s="454"/>
      <c r="F177" s="227">
        <v>7000</v>
      </c>
      <c r="G177" s="247">
        <v>18000</v>
      </c>
      <c r="H177" s="118">
        <v>18000</v>
      </c>
      <c r="I177" s="73">
        <v>9450</v>
      </c>
      <c r="J177" s="242"/>
      <c r="K177" s="118">
        <f t="shared" si="178"/>
        <v>9450</v>
      </c>
      <c r="L177" s="341">
        <v>0</v>
      </c>
      <c r="M177" s="73"/>
      <c r="N177" s="73"/>
      <c r="O177" s="118">
        <f t="shared" si="179"/>
        <v>0</v>
      </c>
      <c r="P177" s="298">
        <v>0</v>
      </c>
      <c r="Q177" s="298">
        <v>0</v>
      </c>
      <c r="R177" s="298">
        <v>0</v>
      </c>
    </row>
    <row r="178" spans="1:21" hidden="1" outlineLevel="2">
      <c r="A178" s="44" t="s">
        <v>136</v>
      </c>
      <c r="B178" s="36">
        <v>5067</v>
      </c>
      <c r="C178" s="90">
        <v>340218</v>
      </c>
      <c r="D178" s="56" t="s">
        <v>102</v>
      </c>
      <c r="E178" s="454"/>
      <c r="F178" s="227">
        <v>1000</v>
      </c>
      <c r="G178" s="247">
        <v>4266</v>
      </c>
      <c r="H178" s="118">
        <v>3000</v>
      </c>
      <c r="I178" s="73"/>
      <c r="J178" s="242"/>
      <c r="K178" s="118">
        <f t="shared" si="178"/>
        <v>0</v>
      </c>
      <c r="L178" s="341">
        <v>0</v>
      </c>
      <c r="M178" s="73"/>
      <c r="N178" s="73"/>
      <c r="O178" s="118">
        <f t="shared" si="179"/>
        <v>0</v>
      </c>
      <c r="P178" s="298"/>
      <c r="Q178" s="298"/>
      <c r="R178" s="298"/>
    </row>
    <row r="179" spans="1:21" hidden="1" outlineLevel="2">
      <c r="A179" s="44" t="s">
        <v>136</v>
      </c>
      <c r="B179" s="33">
        <v>5062</v>
      </c>
      <c r="C179" s="90">
        <v>340221</v>
      </c>
      <c r="D179" s="56" t="s">
        <v>495</v>
      </c>
      <c r="E179" s="454"/>
      <c r="F179" s="227">
        <v>280000</v>
      </c>
      <c r="G179" s="247">
        <v>142919</v>
      </c>
      <c r="H179" s="118">
        <v>140000</v>
      </c>
      <c r="I179" s="73">
        <v>146093</v>
      </c>
      <c r="J179" s="242"/>
      <c r="K179" s="118">
        <f t="shared" si="178"/>
        <v>146093</v>
      </c>
      <c r="L179" s="341">
        <v>120700</v>
      </c>
      <c r="M179" s="73">
        <v>137410.26999999999</v>
      </c>
      <c r="N179" s="73"/>
      <c r="O179" s="118">
        <f t="shared" si="179"/>
        <v>137410.26999999999</v>
      </c>
      <c r="P179" s="298">
        <v>140000</v>
      </c>
      <c r="Q179" s="341">
        <v>103000</v>
      </c>
      <c r="R179" s="298">
        <v>143000</v>
      </c>
    </row>
    <row r="180" spans="1:21" hidden="1" outlineLevel="2">
      <c r="A180" s="44" t="s">
        <v>136</v>
      </c>
      <c r="B180" s="33">
        <v>5061</v>
      </c>
      <c r="C180" s="90">
        <v>340222</v>
      </c>
      <c r="D180" s="56" t="s">
        <v>586</v>
      </c>
      <c r="E180" s="454" t="s">
        <v>588</v>
      </c>
      <c r="F180" s="227">
        <v>40000</v>
      </c>
      <c r="G180" s="247">
        <v>63993</v>
      </c>
      <c r="H180" s="118">
        <v>40000</v>
      </c>
      <c r="I180" s="73">
        <v>46136</v>
      </c>
      <c r="J180" s="73"/>
      <c r="K180" s="118">
        <f t="shared" si="178"/>
        <v>46136</v>
      </c>
      <c r="L180" s="341">
        <v>0</v>
      </c>
      <c r="M180" s="73"/>
      <c r="N180" s="73"/>
      <c r="O180" s="118">
        <f t="shared" si="179"/>
        <v>0</v>
      </c>
      <c r="P180" s="298">
        <f>8000+8000</f>
        <v>16000</v>
      </c>
      <c r="Q180" s="298"/>
      <c r="R180" s="298"/>
    </row>
    <row r="181" spans="1:21" hidden="1" outlineLevel="2">
      <c r="A181" s="44" t="s">
        <v>136</v>
      </c>
      <c r="B181" s="33">
        <v>5063</v>
      </c>
      <c r="C181" s="90">
        <v>340223</v>
      </c>
      <c r="D181" s="56" t="s">
        <v>587</v>
      </c>
      <c r="E181" s="454" t="s">
        <v>588</v>
      </c>
      <c r="F181" s="227">
        <v>20000</v>
      </c>
      <c r="G181" s="247">
        <v>19032</v>
      </c>
      <c r="H181" s="118">
        <v>22000</v>
      </c>
      <c r="I181" s="118">
        <v>18043</v>
      </c>
      <c r="J181" s="73"/>
      <c r="K181" s="118">
        <f t="shared" si="178"/>
        <v>18043</v>
      </c>
      <c r="L181" s="339">
        <v>0</v>
      </c>
      <c r="M181" s="118"/>
      <c r="N181" s="118"/>
      <c r="O181" s="118">
        <f t="shared" si="179"/>
        <v>0</v>
      </c>
      <c r="P181" s="219">
        <f>10000+12000</f>
        <v>22000</v>
      </c>
      <c r="Q181" s="219"/>
      <c r="R181" s="219"/>
    </row>
    <row r="182" spans="1:21" hidden="1" outlineLevel="2">
      <c r="A182" s="44"/>
      <c r="B182" s="33"/>
      <c r="C182" s="90">
        <v>340255</v>
      </c>
      <c r="D182" s="56" t="s">
        <v>258</v>
      </c>
      <c r="E182" s="454"/>
      <c r="F182" s="229">
        <v>100000</v>
      </c>
      <c r="G182" s="249">
        <v>78500</v>
      </c>
      <c r="H182" s="178">
        <v>100000</v>
      </c>
      <c r="I182" s="178">
        <v>107750</v>
      </c>
      <c r="J182" s="364"/>
      <c r="K182" s="213">
        <f t="shared" si="178"/>
        <v>107750</v>
      </c>
      <c r="L182" s="420">
        <v>50000</v>
      </c>
      <c r="M182" s="178">
        <v>45000</v>
      </c>
      <c r="N182" s="178"/>
      <c r="O182" s="213">
        <f t="shared" si="179"/>
        <v>45000</v>
      </c>
      <c r="P182" s="296">
        <v>0</v>
      </c>
      <c r="Q182" s="296">
        <v>0</v>
      </c>
      <c r="R182" s="296">
        <v>0</v>
      </c>
      <c r="S182" s="133" t="s">
        <v>444</v>
      </c>
    </row>
    <row r="183" spans="1:21" hidden="1" outlineLevel="2">
      <c r="A183" s="26" t="s">
        <v>2</v>
      </c>
      <c r="B183" s="36">
        <v>5089</v>
      </c>
      <c r="C183" s="112">
        <v>340299</v>
      </c>
      <c r="D183" s="55" t="s">
        <v>77</v>
      </c>
      <c r="E183" s="449"/>
      <c r="F183" s="226">
        <f>SUM(F169:F182)</f>
        <v>698000</v>
      </c>
      <c r="G183" s="245">
        <f>SUM(G169:G182)</f>
        <v>607848</v>
      </c>
      <c r="H183" s="179">
        <f>SUM(H169:H182)</f>
        <v>626500</v>
      </c>
      <c r="I183" s="179">
        <f t="shared" ref="I183:J183" si="180">SUM(I169:I182)</f>
        <v>590360</v>
      </c>
      <c r="J183" s="179">
        <f t="shared" si="180"/>
        <v>0</v>
      </c>
      <c r="K183" s="118">
        <f t="shared" si="178"/>
        <v>590360</v>
      </c>
      <c r="L183" s="419">
        <f>SUM(L169:L182)</f>
        <v>212200</v>
      </c>
      <c r="M183" s="179">
        <f t="shared" ref="M183:N183" si="181">SUM(M169:M182)</f>
        <v>273894.90999999997</v>
      </c>
      <c r="N183" s="179">
        <f t="shared" si="181"/>
        <v>0</v>
      </c>
      <c r="O183" s="118">
        <f t="shared" si="179"/>
        <v>273894.90999999997</v>
      </c>
      <c r="P183" s="220">
        <f>SUM(P169:P182)</f>
        <v>224000</v>
      </c>
      <c r="Q183" s="220">
        <f>SUM(Q169:Q182)</f>
        <v>151000</v>
      </c>
      <c r="R183" s="220">
        <f>SUM(R169:R182)</f>
        <v>196000</v>
      </c>
    </row>
    <row r="184" spans="1:21" ht="9" hidden="1" customHeight="1" outlineLevel="1">
      <c r="B184" s="33"/>
      <c r="D184" s="55"/>
      <c r="E184" s="449"/>
      <c r="F184" s="227"/>
      <c r="G184" s="247"/>
      <c r="H184" s="118"/>
      <c r="I184" s="118"/>
      <c r="J184" s="118"/>
      <c r="K184" s="118"/>
      <c r="L184" s="339"/>
      <c r="M184" s="118"/>
      <c r="N184" s="118"/>
      <c r="O184" s="118"/>
      <c r="P184" s="219"/>
      <c r="Q184" s="219"/>
      <c r="R184" s="219"/>
    </row>
    <row r="185" spans="1:21" hidden="1" outlineLevel="1">
      <c r="A185" s="26" t="s">
        <v>2</v>
      </c>
      <c r="B185" s="33"/>
      <c r="C185" s="112">
        <v>349999</v>
      </c>
      <c r="D185" s="55" t="s">
        <v>37</v>
      </c>
      <c r="E185" s="449"/>
      <c r="F185" s="226">
        <f t="shared" ref="F185:G185" si="182">F166+F183</f>
        <v>706000</v>
      </c>
      <c r="G185" s="245">
        <f t="shared" si="182"/>
        <v>613399</v>
      </c>
      <c r="H185" s="179">
        <f t="shared" ref="H185:N185" si="183">H166+H183</f>
        <v>633500</v>
      </c>
      <c r="I185" s="179">
        <f t="shared" si="183"/>
        <v>596466</v>
      </c>
      <c r="J185" s="179">
        <f t="shared" si="183"/>
        <v>0</v>
      </c>
      <c r="K185" s="118">
        <f>I185+J185</f>
        <v>596466</v>
      </c>
      <c r="L185" s="419">
        <f t="shared" si="183"/>
        <v>218200</v>
      </c>
      <c r="M185" s="179">
        <f t="shared" si="183"/>
        <v>278928.25999999995</v>
      </c>
      <c r="N185" s="179">
        <f t="shared" si="183"/>
        <v>0</v>
      </c>
      <c r="O185" s="179">
        <f>M185+N185</f>
        <v>278928.25999999995</v>
      </c>
      <c r="P185" s="220">
        <f t="shared" ref="P185:Q185" si="184">P166+P183</f>
        <v>230000</v>
      </c>
      <c r="Q185" s="220">
        <f t="shared" si="184"/>
        <v>157000</v>
      </c>
      <c r="R185" s="220">
        <f t="shared" ref="R185" si="185">R166+R183</f>
        <v>202000</v>
      </c>
    </row>
    <row r="186" spans="1:21" ht="15" customHeight="1" collapsed="1">
      <c r="A186" s="26" t="s">
        <v>0</v>
      </c>
      <c r="B186" s="33"/>
      <c r="C186" s="112">
        <v>350000</v>
      </c>
      <c r="D186" s="459" t="s">
        <v>585</v>
      </c>
      <c r="E186" s="460" t="s">
        <v>598</v>
      </c>
      <c r="F186" s="227">
        <f t="shared" ref="F186" si="186">F197</f>
        <v>32000</v>
      </c>
      <c r="G186" s="247">
        <f t="shared" ref="G186" si="187">G197</f>
        <v>39121</v>
      </c>
      <c r="H186" s="118">
        <f>H197</f>
        <v>37000</v>
      </c>
      <c r="I186" s="118">
        <f t="shared" ref="I186:J186" si="188">I197</f>
        <v>38813</v>
      </c>
      <c r="J186" s="118">
        <f t="shared" si="188"/>
        <v>0</v>
      </c>
      <c r="K186" s="118">
        <f>I186+J186</f>
        <v>38813</v>
      </c>
      <c r="L186" s="339">
        <f>L197</f>
        <v>16000</v>
      </c>
      <c r="M186" s="118">
        <f t="shared" ref="M186:N186" si="189">M197</f>
        <v>17745</v>
      </c>
      <c r="N186" s="118">
        <f t="shared" si="189"/>
        <v>0</v>
      </c>
      <c r="O186" s="118">
        <f>M186+N186</f>
        <v>17745</v>
      </c>
      <c r="P186" s="219">
        <f>P197</f>
        <v>12000</v>
      </c>
      <c r="Q186" s="219">
        <f>Q197</f>
        <v>12000</v>
      </c>
      <c r="R186" s="219">
        <f>R197</f>
        <v>12000</v>
      </c>
    </row>
    <row r="187" spans="1:21" ht="15" hidden="1" customHeight="1" outlineLevel="1">
      <c r="A187" s="26" t="s">
        <v>0</v>
      </c>
      <c r="B187" s="33"/>
      <c r="C187" s="112">
        <v>350100</v>
      </c>
      <c r="D187" s="10" t="s">
        <v>260</v>
      </c>
      <c r="E187" s="460" t="s">
        <v>564</v>
      </c>
      <c r="F187" s="227"/>
      <c r="G187" s="247"/>
      <c r="H187" s="118">
        <f>H192</f>
        <v>0</v>
      </c>
      <c r="I187" s="118">
        <f t="shared" ref="I187:K187" si="190">I192</f>
        <v>0</v>
      </c>
      <c r="J187" s="118">
        <f t="shared" si="190"/>
        <v>0</v>
      </c>
      <c r="K187" s="118">
        <f t="shared" si="190"/>
        <v>0</v>
      </c>
      <c r="L187" s="339">
        <f>L192</f>
        <v>6000</v>
      </c>
      <c r="M187" s="118">
        <f t="shared" ref="M187:O187" si="191">M192</f>
        <v>0</v>
      </c>
      <c r="N187" s="118">
        <f t="shared" si="191"/>
        <v>0</v>
      </c>
      <c r="O187" s="118">
        <f t="shared" si="191"/>
        <v>0</v>
      </c>
      <c r="P187" s="446">
        <f t="shared" ref="P187:R187" si="192">P192</f>
        <v>2000</v>
      </c>
      <c r="Q187" s="446">
        <f t="shared" si="192"/>
        <v>2000</v>
      </c>
      <c r="R187" s="446">
        <f t="shared" si="192"/>
        <v>2000</v>
      </c>
    </row>
    <row r="188" spans="1:21" ht="15" hidden="1" customHeight="1" outlineLevel="2">
      <c r="A188" s="26" t="s">
        <v>136</v>
      </c>
      <c r="B188" s="33"/>
      <c r="C188" s="90">
        <v>350101</v>
      </c>
      <c r="D188" s="11" t="s">
        <v>261</v>
      </c>
      <c r="E188" s="460" t="s">
        <v>564</v>
      </c>
      <c r="F188" s="227">
        <v>0</v>
      </c>
      <c r="G188" s="247">
        <v>0</v>
      </c>
      <c r="H188" s="118">
        <v>0</v>
      </c>
      <c r="I188" s="118">
        <v>0</v>
      </c>
      <c r="J188" s="118">
        <v>0</v>
      </c>
      <c r="K188" s="118">
        <f>I188+J188</f>
        <v>0</v>
      </c>
      <c r="L188" s="339">
        <v>0</v>
      </c>
      <c r="M188" s="118">
        <v>0</v>
      </c>
      <c r="N188" s="118">
        <v>0</v>
      </c>
      <c r="O188" s="118">
        <f>M188+N188</f>
        <v>0</v>
      </c>
      <c r="P188" s="219">
        <v>0</v>
      </c>
      <c r="Q188" s="219">
        <v>0</v>
      </c>
      <c r="R188" s="219">
        <v>0</v>
      </c>
    </row>
    <row r="189" spans="1:21" ht="15" hidden="1" customHeight="1" outlineLevel="2">
      <c r="A189" s="26" t="s">
        <v>136</v>
      </c>
      <c r="B189" s="33"/>
      <c r="C189" s="90">
        <v>350102</v>
      </c>
      <c r="D189" s="11" t="s">
        <v>262</v>
      </c>
      <c r="E189" s="460" t="s">
        <v>564</v>
      </c>
      <c r="F189" s="227">
        <v>0</v>
      </c>
      <c r="G189" s="247">
        <v>0</v>
      </c>
      <c r="H189" s="118">
        <v>0</v>
      </c>
      <c r="I189" s="118">
        <v>0</v>
      </c>
      <c r="J189" s="118">
        <v>0</v>
      </c>
      <c r="K189" s="118">
        <f>I189+J189</f>
        <v>0</v>
      </c>
      <c r="L189" s="339">
        <v>5000</v>
      </c>
      <c r="M189" s="118">
        <v>0</v>
      </c>
      <c r="N189" s="118">
        <v>0</v>
      </c>
      <c r="O189" s="118">
        <f>M189+N189</f>
        <v>0</v>
      </c>
      <c r="P189" s="219">
        <v>0</v>
      </c>
      <c r="Q189" s="219">
        <v>0</v>
      </c>
      <c r="R189" s="219">
        <v>0</v>
      </c>
    </row>
    <row r="190" spans="1:21" ht="15" hidden="1" customHeight="1" outlineLevel="2">
      <c r="A190" s="26" t="s">
        <v>136</v>
      </c>
      <c r="B190" s="33"/>
      <c r="C190" s="90">
        <v>350103</v>
      </c>
      <c r="D190" s="11" t="s">
        <v>263</v>
      </c>
      <c r="E190" s="460" t="s">
        <v>564</v>
      </c>
      <c r="F190" s="227">
        <v>0</v>
      </c>
      <c r="G190" s="247">
        <v>0</v>
      </c>
      <c r="H190" s="118">
        <v>0</v>
      </c>
      <c r="I190" s="118">
        <v>0</v>
      </c>
      <c r="J190" s="118">
        <v>0</v>
      </c>
      <c r="K190" s="118">
        <f>I190+J190</f>
        <v>0</v>
      </c>
      <c r="L190" s="339">
        <v>1000</v>
      </c>
      <c r="M190" s="118">
        <v>0</v>
      </c>
      <c r="N190" s="118">
        <v>0</v>
      </c>
      <c r="O190" s="118">
        <f>M190+N190</f>
        <v>0</v>
      </c>
      <c r="P190" s="219">
        <v>0</v>
      </c>
      <c r="Q190" s="219">
        <v>0</v>
      </c>
      <c r="R190" s="219">
        <v>0</v>
      </c>
    </row>
    <row r="191" spans="1:21" ht="15" hidden="1" customHeight="1" outlineLevel="2">
      <c r="A191" s="26" t="s">
        <v>136</v>
      </c>
      <c r="B191" s="33"/>
      <c r="C191" s="90">
        <v>350109</v>
      </c>
      <c r="D191" s="11" t="s">
        <v>571</v>
      </c>
      <c r="E191" s="460" t="s">
        <v>564</v>
      </c>
      <c r="F191" s="229">
        <v>0</v>
      </c>
      <c r="G191" s="249">
        <v>0</v>
      </c>
      <c r="H191" s="178">
        <v>0</v>
      </c>
      <c r="I191" s="178">
        <v>0</v>
      </c>
      <c r="J191" s="178">
        <v>0</v>
      </c>
      <c r="K191" s="178">
        <f>I191+J191</f>
        <v>0</v>
      </c>
      <c r="L191" s="420"/>
      <c r="M191" s="178">
        <v>0</v>
      </c>
      <c r="N191" s="178">
        <v>0</v>
      </c>
      <c r="O191" s="178">
        <f>M191+N191</f>
        <v>0</v>
      </c>
      <c r="P191" s="307">
        <v>2000</v>
      </c>
      <c r="Q191" s="307">
        <v>2000</v>
      </c>
      <c r="R191" s="307">
        <v>2000</v>
      </c>
      <c r="T191" s="292"/>
      <c r="U191" s="292"/>
    </row>
    <row r="192" spans="1:21" ht="15" hidden="1" customHeight="1" outlineLevel="2">
      <c r="A192" s="26" t="s">
        <v>2</v>
      </c>
      <c r="B192" s="33"/>
      <c r="C192" s="112">
        <v>350199</v>
      </c>
      <c r="D192" s="10" t="s">
        <v>265</v>
      </c>
      <c r="E192" s="460" t="s">
        <v>564</v>
      </c>
      <c r="F192" s="226">
        <f t="shared" ref="F192" si="193">SUM(F188:F191)</f>
        <v>0</v>
      </c>
      <c r="G192" s="245">
        <f t="shared" ref="G192" si="194">SUM(G188:G191)</f>
        <v>0</v>
      </c>
      <c r="H192" s="179">
        <f t="shared" ref="H192:L192" si="195">SUM(H188:H191)</f>
        <v>0</v>
      </c>
      <c r="I192" s="179">
        <f t="shared" si="195"/>
        <v>0</v>
      </c>
      <c r="J192" s="179">
        <f t="shared" si="195"/>
        <v>0</v>
      </c>
      <c r="K192" s="118">
        <f>I192+J192</f>
        <v>0</v>
      </c>
      <c r="L192" s="419">
        <f t="shared" si="195"/>
        <v>6000</v>
      </c>
      <c r="M192" s="179">
        <f t="shared" ref="M192:N192" si="196">SUM(M188:M191)</f>
        <v>0</v>
      </c>
      <c r="N192" s="179">
        <f t="shared" si="196"/>
        <v>0</v>
      </c>
      <c r="O192" s="118">
        <f>M192+N192</f>
        <v>0</v>
      </c>
      <c r="P192" s="220">
        <f t="shared" ref="P192:Q192" si="197">SUM(P188:P191)</f>
        <v>2000</v>
      </c>
      <c r="Q192" s="220">
        <f t="shared" si="197"/>
        <v>2000</v>
      </c>
      <c r="R192" s="220">
        <f t="shared" ref="R192" si="198">SUM(R188:R191)</f>
        <v>2000</v>
      </c>
    </row>
    <row r="193" spans="1:18" ht="9" hidden="1" customHeight="1" outlineLevel="1">
      <c r="B193" s="33"/>
      <c r="C193" s="112"/>
      <c r="D193" s="10"/>
      <c r="F193" s="226"/>
      <c r="G193" s="245"/>
      <c r="H193" s="179"/>
      <c r="I193" s="118"/>
      <c r="J193" s="118"/>
      <c r="K193" s="118"/>
      <c r="L193" s="339"/>
      <c r="M193" s="118"/>
      <c r="N193" s="118"/>
      <c r="O193" s="118"/>
      <c r="P193" s="219"/>
      <c r="Q193" s="219"/>
      <c r="R193" s="219"/>
    </row>
    <row r="194" spans="1:18" ht="15" hidden="1" customHeight="1" outlineLevel="1">
      <c r="B194" s="33"/>
      <c r="C194" s="90">
        <v>358801</v>
      </c>
      <c r="D194" s="11" t="s">
        <v>70</v>
      </c>
      <c r="E194" s="88"/>
      <c r="F194" s="227">
        <v>20000</v>
      </c>
      <c r="G194" s="247">
        <v>27421</v>
      </c>
      <c r="H194" s="118">
        <v>25000</v>
      </c>
      <c r="I194" s="118">
        <v>28413</v>
      </c>
      <c r="J194" s="118">
        <v>0</v>
      </c>
      <c r="K194" s="118">
        <f>I194+J194</f>
        <v>28413</v>
      </c>
      <c r="L194" s="341">
        <v>0</v>
      </c>
      <c r="M194" s="118">
        <v>10395</v>
      </c>
      <c r="N194" s="118">
        <v>0</v>
      </c>
      <c r="O194" s="118">
        <f>M194+N194</f>
        <v>10395</v>
      </c>
      <c r="P194" s="298">
        <v>0</v>
      </c>
      <c r="Q194" s="298">
        <v>0</v>
      </c>
      <c r="R194" s="298">
        <v>0</v>
      </c>
    </row>
    <row r="195" spans="1:18" ht="15" hidden="1" customHeight="1" outlineLevel="1">
      <c r="A195" s="26" t="s">
        <v>136</v>
      </c>
      <c r="B195" s="33">
        <v>4510</v>
      </c>
      <c r="C195" s="90">
        <v>358805</v>
      </c>
      <c r="D195" s="11" t="s">
        <v>167</v>
      </c>
      <c r="E195" s="258"/>
      <c r="F195" s="227">
        <v>12000</v>
      </c>
      <c r="G195" s="313">
        <v>11700</v>
      </c>
      <c r="H195" s="118">
        <v>12000</v>
      </c>
      <c r="I195" s="118">
        <v>10400</v>
      </c>
      <c r="J195" s="118">
        <v>0</v>
      </c>
      <c r="K195" s="118">
        <f>I195+J195</f>
        <v>10400</v>
      </c>
      <c r="L195" s="341">
        <v>10000</v>
      </c>
      <c r="M195" s="73">
        <v>7350</v>
      </c>
      <c r="N195" s="73"/>
      <c r="O195" s="118">
        <f>M195+N195</f>
        <v>7350</v>
      </c>
      <c r="P195" s="341">
        <v>10000</v>
      </c>
      <c r="Q195" s="341">
        <v>10000</v>
      </c>
      <c r="R195" s="73">
        <v>10000</v>
      </c>
    </row>
    <row r="196" spans="1:18" ht="9" hidden="1" customHeight="1" outlineLevel="1">
      <c r="B196" s="33"/>
      <c r="E196" s="258"/>
      <c r="F196" s="227"/>
      <c r="G196" s="247"/>
      <c r="H196" s="118"/>
      <c r="I196" s="118"/>
      <c r="J196" s="118"/>
      <c r="K196" s="118"/>
      <c r="L196" s="339"/>
      <c r="M196" s="118"/>
      <c r="N196" s="118"/>
      <c r="O196" s="118"/>
      <c r="P196" s="219"/>
      <c r="Q196" s="219"/>
      <c r="R196" s="219"/>
    </row>
    <row r="197" spans="1:18" ht="15" hidden="1" customHeight="1" outlineLevel="1">
      <c r="A197" s="26" t="s">
        <v>2</v>
      </c>
      <c r="B197" s="33">
        <v>4599</v>
      </c>
      <c r="C197" s="90">
        <v>359999</v>
      </c>
      <c r="D197" s="11" t="s">
        <v>69</v>
      </c>
      <c r="F197" s="226">
        <f>SUM(F192:F195)</f>
        <v>32000</v>
      </c>
      <c r="G197" s="245">
        <f>SUM(G192:G195)</f>
        <v>39121</v>
      </c>
      <c r="H197" s="179">
        <f>SUM(H192:H195)</f>
        <v>37000</v>
      </c>
      <c r="I197" s="179">
        <f>SUM(I192:I195)</f>
        <v>38813</v>
      </c>
      <c r="J197" s="179">
        <f>SUM(J192:J195)</f>
        <v>0</v>
      </c>
      <c r="K197" s="118">
        <f t="shared" ref="K197:K223" si="199">I197+J197</f>
        <v>38813</v>
      </c>
      <c r="L197" s="419">
        <f>L192+L194+L195</f>
        <v>16000</v>
      </c>
      <c r="M197" s="179">
        <f>SUM(M192:M195)</f>
        <v>17745</v>
      </c>
      <c r="N197" s="179">
        <f>SUM(N192:N195)</f>
        <v>0</v>
      </c>
      <c r="O197" s="179">
        <f t="shared" ref="O197:O221" si="200">M197+N197</f>
        <v>17745</v>
      </c>
      <c r="P197" s="220">
        <f>P192+P194+P195</f>
        <v>12000</v>
      </c>
      <c r="Q197" s="220">
        <f>Q192+Q194+Q195</f>
        <v>12000</v>
      </c>
      <c r="R197" s="220">
        <f>R192+R194+R195</f>
        <v>12000</v>
      </c>
    </row>
    <row r="198" spans="1:18" ht="15" customHeight="1">
      <c r="B198" s="33"/>
      <c r="C198" s="90">
        <v>360000</v>
      </c>
      <c r="D198" s="52" t="s">
        <v>562</v>
      </c>
      <c r="E198" s="453" t="s">
        <v>563</v>
      </c>
      <c r="F198" s="226"/>
      <c r="G198" s="245"/>
      <c r="H198" s="179"/>
      <c r="I198" s="179"/>
      <c r="J198" s="179"/>
      <c r="K198" s="118"/>
      <c r="L198" s="419"/>
      <c r="M198" s="179"/>
      <c r="N198" s="179"/>
      <c r="O198" s="179"/>
      <c r="P198" s="219">
        <f>P209</f>
        <v>6000</v>
      </c>
      <c r="Q198" s="219">
        <f>Q209</f>
        <v>6000</v>
      </c>
      <c r="R198" s="219">
        <f>R209</f>
        <v>6000</v>
      </c>
    </row>
    <row r="199" spans="1:18" ht="15" customHeight="1" outlineLevel="1" collapsed="1">
      <c r="B199" s="33"/>
      <c r="C199" s="115">
        <v>360100</v>
      </c>
      <c r="D199" s="55" t="s">
        <v>565</v>
      </c>
      <c r="F199" s="226"/>
      <c r="G199" s="245"/>
      <c r="H199" s="179"/>
      <c r="I199" s="179"/>
      <c r="J199" s="179"/>
      <c r="K199" s="118"/>
      <c r="L199" s="419"/>
      <c r="M199" s="179"/>
      <c r="N199" s="179"/>
      <c r="O199" s="179"/>
      <c r="P199" s="220">
        <f>P203</f>
        <v>6000</v>
      </c>
      <c r="Q199" s="220">
        <f>Q203</f>
        <v>6000</v>
      </c>
      <c r="R199" s="220">
        <f>R203</f>
        <v>6000</v>
      </c>
    </row>
    <row r="200" spans="1:18" ht="15" hidden="1" customHeight="1" outlineLevel="2">
      <c r="B200" s="33"/>
      <c r="C200" s="110">
        <v>360101</v>
      </c>
      <c r="D200" s="56" t="s">
        <v>566</v>
      </c>
      <c r="F200" s="226"/>
      <c r="G200" s="245"/>
      <c r="H200" s="179"/>
      <c r="I200" s="179"/>
      <c r="J200" s="179"/>
      <c r="K200" s="118"/>
      <c r="L200" s="419"/>
      <c r="M200" s="179"/>
      <c r="N200" s="179"/>
      <c r="O200" s="179"/>
      <c r="P200" s="219">
        <v>0</v>
      </c>
      <c r="Q200" s="219">
        <v>0</v>
      </c>
      <c r="R200" s="219">
        <v>0</v>
      </c>
    </row>
    <row r="201" spans="1:18" ht="15" hidden="1" customHeight="1" outlineLevel="2">
      <c r="B201" s="33"/>
      <c r="C201" s="110">
        <v>360102</v>
      </c>
      <c r="D201" s="56" t="s">
        <v>567</v>
      </c>
      <c r="F201" s="226"/>
      <c r="G201" s="245"/>
      <c r="H201" s="179"/>
      <c r="I201" s="179"/>
      <c r="J201" s="179"/>
      <c r="K201" s="118"/>
      <c r="L201" s="419"/>
      <c r="M201" s="179"/>
      <c r="N201" s="179"/>
      <c r="O201" s="179"/>
      <c r="P201" s="219">
        <v>5000</v>
      </c>
      <c r="Q201" s="219">
        <v>5000</v>
      </c>
      <c r="R201" s="219">
        <v>5000</v>
      </c>
    </row>
    <row r="202" spans="1:18" ht="15" hidden="1" customHeight="1" outlineLevel="2">
      <c r="B202" s="33"/>
      <c r="C202" s="110">
        <v>360103</v>
      </c>
      <c r="D202" s="56" t="s">
        <v>568</v>
      </c>
      <c r="F202" s="226"/>
      <c r="G202" s="245"/>
      <c r="H202" s="179"/>
      <c r="I202" s="179"/>
      <c r="J202" s="179"/>
      <c r="K202" s="118"/>
      <c r="L202" s="419"/>
      <c r="M202" s="179"/>
      <c r="N202" s="179"/>
      <c r="O202" s="179"/>
      <c r="P202" s="296">
        <v>1000</v>
      </c>
      <c r="Q202" s="296">
        <v>1000</v>
      </c>
      <c r="R202" s="296">
        <v>1000</v>
      </c>
    </row>
    <row r="203" spans="1:18" ht="15" hidden="1" customHeight="1" outlineLevel="2">
      <c r="B203" s="33"/>
      <c r="C203" s="115">
        <v>360199</v>
      </c>
      <c r="D203" s="55" t="s">
        <v>569</v>
      </c>
      <c r="F203" s="226"/>
      <c r="G203" s="245"/>
      <c r="H203" s="179"/>
      <c r="I203" s="179"/>
      <c r="J203" s="179"/>
      <c r="K203" s="118"/>
      <c r="L203" s="419"/>
      <c r="M203" s="179"/>
      <c r="N203" s="179"/>
      <c r="O203" s="179"/>
      <c r="P203" s="220">
        <f>SUM(P200:P202)</f>
        <v>6000</v>
      </c>
      <c r="Q203" s="220">
        <f>SUM(Q200:Q202)</f>
        <v>6000</v>
      </c>
      <c r="R203" s="220">
        <f>SUM(R200:R202)</f>
        <v>6000</v>
      </c>
    </row>
    <row r="204" spans="1:18" ht="7.5" customHeight="1" outlineLevel="1">
      <c r="B204" s="33"/>
      <c r="C204" s="115"/>
      <c r="D204" s="55"/>
      <c r="F204" s="226"/>
      <c r="G204" s="245"/>
      <c r="H204" s="179"/>
      <c r="I204" s="179"/>
      <c r="J204" s="179"/>
      <c r="K204" s="118"/>
      <c r="L204" s="419"/>
      <c r="M204" s="179"/>
      <c r="N204" s="179"/>
      <c r="O204" s="179"/>
      <c r="P204" s="220"/>
      <c r="Q204" s="220"/>
      <c r="R204" s="220"/>
    </row>
    <row r="205" spans="1:18" ht="15" customHeight="1" outlineLevel="1">
      <c r="B205" s="33"/>
      <c r="C205" s="115">
        <v>362000</v>
      </c>
      <c r="D205" s="55" t="s">
        <v>570</v>
      </c>
      <c r="F205" s="226"/>
      <c r="G205" s="245"/>
      <c r="H205" s="179"/>
      <c r="I205" s="179"/>
      <c r="J205" s="179"/>
      <c r="K205" s="118"/>
      <c r="L205" s="419"/>
      <c r="M205" s="179"/>
      <c r="N205" s="179"/>
      <c r="O205" s="179"/>
      <c r="P205" s="220"/>
      <c r="Q205" s="220"/>
      <c r="R205" s="220"/>
    </row>
    <row r="206" spans="1:18" ht="15" customHeight="1" outlineLevel="1">
      <c r="B206" s="33"/>
      <c r="C206" s="115">
        <v>362001</v>
      </c>
      <c r="D206" s="55" t="s">
        <v>572</v>
      </c>
      <c r="F206" s="226"/>
      <c r="G206" s="245"/>
      <c r="H206" s="179"/>
      <c r="I206" s="179"/>
      <c r="J206" s="179"/>
      <c r="K206" s="118"/>
      <c r="L206" s="419"/>
      <c r="M206" s="179"/>
      <c r="N206" s="179"/>
      <c r="O206" s="179"/>
      <c r="P206" s="220">
        <v>0</v>
      </c>
      <c r="Q206" s="220">
        <v>0</v>
      </c>
      <c r="R206" s="220">
        <v>0</v>
      </c>
    </row>
    <row r="207" spans="1:18" ht="15" customHeight="1" outlineLevel="1">
      <c r="B207" s="33"/>
      <c r="C207" s="115">
        <v>362009</v>
      </c>
      <c r="D207" s="55" t="s">
        <v>573</v>
      </c>
      <c r="F207" s="226"/>
      <c r="G207" s="245"/>
      <c r="H207" s="179"/>
      <c r="I207" s="179"/>
      <c r="J207" s="179"/>
      <c r="K207" s="118"/>
      <c r="L207" s="419"/>
      <c r="M207" s="179"/>
      <c r="N207" s="179"/>
      <c r="O207" s="179"/>
      <c r="P207" s="220">
        <f>SUM(P206)</f>
        <v>0</v>
      </c>
      <c r="Q207" s="220">
        <f>SUM(Q206)</f>
        <v>0</v>
      </c>
      <c r="R207" s="220">
        <f>SUM(R206)</f>
        <v>0</v>
      </c>
    </row>
    <row r="208" spans="1:18" ht="7.5" customHeight="1" outlineLevel="1">
      <c r="B208" s="33"/>
      <c r="C208" s="115"/>
      <c r="D208" s="55"/>
      <c r="F208" s="226"/>
      <c r="G208" s="245"/>
      <c r="H208" s="179"/>
      <c r="I208" s="179"/>
      <c r="J208" s="179"/>
      <c r="K208" s="118"/>
      <c r="L208" s="419"/>
      <c r="M208" s="179"/>
      <c r="N208" s="179"/>
      <c r="O208" s="179"/>
      <c r="P208" s="220"/>
      <c r="Q208" s="220"/>
      <c r="R208" s="220"/>
    </row>
    <row r="209" spans="1:19" ht="15" customHeight="1" outlineLevel="1">
      <c r="B209" s="33"/>
      <c r="C209" s="115">
        <v>369999</v>
      </c>
      <c r="D209" s="55" t="s">
        <v>574</v>
      </c>
      <c r="F209" s="226"/>
      <c r="G209" s="245"/>
      <c r="H209" s="179"/>
      <c r="I209" s="179"/>
      <c r="J209" s="179"/>
      <c r="K209" s="118"/>
      <c r="L209" s="419"/>
      <c r="M209" s="179"/>
      <c r="N209" s="179"/>
      <c r="O209" s="179"/>
      <c r="P209" s="220">
        <f>P203+P207</f>
        <v>6000</v>
      </c>
      <c r="Q209" s="220">
        <f>Q203+Q207</f>
        <v>6000</v>
      </c>
      <c r="R209" s="220">
        <f>R203+R207</f>
        <v>6000</v>
      </c>
    </row>
    <row r="210" spans="1:19" ht="15" customHeight="1" collapsed="1">
      <c r="B210" s="33"/>
      <c r="C210" s="112">
        <v>370000</v>
      </c>
      <c r="D210" s="459" t="s">
        <v>578</v>
      </c>
      <c r="E210" s="461" t="s">
        <v>583</v>
      </c>
      <c r="F210" s="226"/>
      <c r="G210" s="245"/>
      <c r="H210" s="179"/>
      <c r="I210" s="179"/>
      <c r="J210" s="179"/>
      <c r="K210" s="118"/>
      <c r="L210" s="419"/>
      <c r="M210" s="179"/>
      <c r="N210" s="179"/>
      <c r="O210" s="179"/>
      <c r="P210" s="220">
        <f>P217</f>
        <v>2000</v>
      </c>
      <c r="Q210" s="220">
        <f>Q217</f>
        <v>2000</v>
      </c>
      <c r="R210" s="220">
        <f>R217</f>
        <v>2000</v>
      </c>
    </row>
    <row r="211" spans="1:19" ht="15" hidden="1" customHeight="1" outlineLevel="1" collapsed="1">
      <c r="C211" s="115">
        <v>371000</v>
      </c>
      <c r="D211" s="55" t="s">
        <v>50</v>
      </c>
      <c r="F211" s="220"/>
      <c r="G211" s="251"/>
      <c r="H211" s="179"/>
      <c r="I211" s="179"/>
      <c r="J211" s="179"/>
      <c r="K211" s="118"/>
      <c r="L211" s="419"/>
      <c r="M211" s="179"/>
      <c r="N211" s="179"/>
      <c r="O211" s="179"/>
      <c r="P211" s="220">
        <f>P216</f>
        <v>2000</v>
      </c>
      <c r="Q211" s="220">
        <f>Q216</f>
        <v>2000</v>
      </c>
      <c r="R211" s="220">
        <f>R216</f>
        <v>2000</v>
      </c>
    </row>
    <row r="212" spans="1:19" ht="15" hidden="1" customHeight="1" outlineLevel="2">
      <c r="C212" s="110">
        <v>370101</v>
      </c>
      <c r="D212" s="56" t="s">
        <v>581</v>
      </c>
      <c r="F212" s="220"/>
      <c r="G212" s="251"/>
      <c r="H212" s="179"/>
      <c r="I212" s="179"/>
      <c r="J212" s="179"/>
      <c r="K212" s="118"/>
      <c r="L212" s="419"/>
      <c r="M212" s="179"/>
      <c r="N212" s="179"/>
      <c r="O212" s="179"/>
      <c r="P212" s="220"/>
      <c r="Q212" s="220"/>
      <c r="R212" s="220"/>
    </row>
    <row r="213" spans="1:19" ht="15" hidden="1" customHeight="1" outlineLevel="2">
      <c r="C213" s="110">
        <v>370102</v>
      </c>
      <c r="D213" s="56" t="s">
        <v>579</v>
      </c>
      <c r="F213" s="220"/>
      <c r="G213" s="251"/>
      <c r="H213" s="179"/>
      <c r="I213" s="179"/>
      <c r="J213" s="179"/>
      <c r="K213" s="118"/>
      <c r="L213" s="419"/>
      <c r="M213" s="179"/>
      <c r="N213" s="179"/>
      <c r="O213" s="179"/>
      <c r="P213" s="220"/>
      <c r="Q213" s="220"/>
      <c r="R213" s="220"/>
    </row>
    <row r="214" spans="1:19" ht="15" hidden="1" customHeight="1" outlineLevel="2">
      <c r="C214" s="110">
        <v>370103</v>
      </c>
      <c r="D214" s="56" t="s">
        <v>580</v>
      </c>
      <c r="F214" s="220"/>
      <c r="G214" s="251"/>
      <c r="H214" s="179"/>
      <c r="I214" s="179"/>
      <c r="J214" s="179"/>
      <c r="K214" s="118"/>
      <c r="L214" s="419"/>
      <c r="M214" s="179"/>
      <c r="N214" s="179"/>
      <c r="O214" s="179"/>
      <c r="P214" s="220"/>
      <c r="Q214" s="220"/>
      <c r="R214" s="220"/>
    </row>
    <row r="215" spans="1:19" ht="15" hidden="1" customHeight="1" outlineLevel="2">
      <c r="C215" s="110">
        <v>370109</v>
      </c>
      <c r="D215" s="56" t="s">
        <v>582</v>
      </c>
      <c r="F215" s="220"/>
      <c r="G215" s="251"/>
      <c r="H215" s="179"/>
      <c r="I215" s="179"/>
      <c r="J215" s="179"/>
      <c r="K215" s="118"/>
      <c r="L215" s="419"/>
      <c r="M215" s="179"/>
      <c r="N215" s="179"/>
      <c r="O215" s="179"/>
      <c r="P215" s="296">
        <v>2000</v>
      </c>
      <c r="Q215" s="296">
        <v>2000</v>
      </c>
      <c r="R215" s="296">
        <v>2000</v>
      </c>
    </row>
    <row r="216" spans="1:19" ht="15" hidden="1" customHeight="1" outlineLevel="2">
      <c r="C216" s="110">
        <v>370199</v>
      </c>
      <c r="D216" s="55" t="s">
        <v>569</v>
      </c>
      <c r="F216" s="220"/>
      <c r="G216" s="251"/>
      <c r="H216" s="179"/>
      <c r="I216" s="179"/>
      <c r="J216" s="179"/>
      <c r="K216" s="118"/>
      <c r="L216" s="419"/>
      <c r="M216" s="179"/>
      <c r="N216" s="179"/>
      <c r="O216" s="179"/>
      <c r="P216" s="219">
        <f>SUM(P212:P215)</f>
        <v>2000</v>
      </c>
      <c r="Q216" s="219">
        <f>SUM(Q212:Q215)</f>
        <v>2000</v>
      </c>
      <c r="R216" s="219">
        <f>SUM(R212:R215)</f>
        <v>2000</v>
      </c>
    </row>
    <row r="217" spans="1:19" ht="15" hidden="1" customHeight="1" outlineLevel="1">
      <c r="B217" s="33"/>
      <c r="C217" s="115">
        <v>379999</v>
      </c>
      <c r="D217" s="55" t="s">
        <v>584</v>
      </c>
      <c r="F217" s="226"/>
      <c r="G217" s="245"/>
      <c r="H217" s="179"/>
      <c r="I217" s="179"/>
      <c r="J217" s="179"/>
      <c r="K217" s="118"/>
      <c r="L217" s="419"/>
      <c r="M217" s="179"/>
      <c r="N217" s="179"/>
      <c r="O217" s="179"/>
      <c r="P217" s="220">
        <f>P216</f>
        <v>2000</v>
      </c>
      <c r="Q217" s="220">
        <f>Q216</f>
        <v>2000</v>
      </c>
      <c r="R217" s="220">
        <f>R216</f>
        <v>2000</v>
      </c>
    </row>
    <row r="218" spans="1:19" ht="15" hidden="1" customHeight="1">
      <c r="B218" s="33"/>
      <c r="C218" s="457"/>
      <c r="D218" s="458"/>
      <c r="F218" s="226"/>
      <c r="G218" s="245"/>
      <c r="H218" s="179"/>
      <c r="I218" s="179"/>
      <c r="J218" s="179"/>
      <c r="K218" s="118"/>
      <c r="L218" s="419"/>
      <c r="M218" s="179"/>
      <c r="N218" s="179"/>
      <c r="O218" s="179"/>
      <c r="P218" s="220"/>
      <c r="Q218" s="220"/>
      <c r="R218" s="220"/>
    </row>
    <row r="219" spans="1:19" ht="12.75" customHeight="1">
      <c r="A219" s="26" t="s">
        <v>0</v>
      </c>
      <c r="B219" s="33"/>
      <c r="C219" s="112">
        <v>420000</v>
      </c>
      <c r="D219" s="30" t="s">
        <v>108</v>
      </c>
      <c r="E219" s="349"/>
      <c r="F219" s="227">
        <f t="shared" ref="F219:G219" si="201">SUM(F220:F221)</f>
        <v>117000</v>
      </c>
      <c r="G219" s="247">
        <f t="shared" si="201"/>
        <v>189250</v>
      </c>
      <c r="H219" s="118">
        <f t="shared" ref="H219:N219" si="202">SUM(H220:H221)</f>
        <v>192550</v>
      </c>
      <c r="I219" s="118">
        <f t="shared" si="202"/>
        <v>169679</v>
      </c>
      <c r="J219" s="118">
        <f t="shared" si="202"/>
        <v>0</v>
      </c>
      <c r="K219" s="118">
        <f t="shared" si="199"/>
        <v>169679</v>
      </c>
      <c r="L219" s="339">
        <f t="shared" si="202"/>
        <v>162375</v>
      </c>
      <c r="M219" s="118">
        <f t="shared" si="202"/>
        <v>167561.92000000001</v>
      </c>
      <c r="N219" s="118">
        <f t="shared" si="202"/>
        <v>0</v>
      </c>
      <c r="O219" s="118">
        <f t="shared" si="200"/>
        <v>167561.92000000001</v>
      </c>
      <c r="P219" s="219">
        <f t="shared" ref="P219:Q219" si="203">SUM(P220:P221)</f>
        <v>170000</v>
      </c>
      <c r="Q219" s="219">
        <f t="shared" si="203"/>
        <v>170000</v>
      </c>
      <c r="R219" s="219">
        <f t="shared" ref="R219" si="204">SUM(R220:R221)</f>
        <v>170000</v>
      </c>
    </row>
    <row r="220" spans="1:19" ht="15" customHeight="1" outlineLevel="1">
      <c r="A220" s="26" t="s">
        <v>136</v>
      </c>
      <c r="B220" s="33">
        <v>4000</v>
      </c>
      <c r="C220" s="90">
        <v>420101</v>
      </c>
      <c r="D220" s="11" t="s">
        <v>64</v>
      </c>
      <c r="F220" s="227">
        <v>90000</v>
      </c>
      <c r="G220" s="247">
        <v>162250</v>
      </c>
      <c r="H220" s="118">
        <v>165550</v>
      </c>
      <c r="I220" s="118">
        <v>151679</v>
      </c>
      <c r="J220" s="118">
        <v>0</v>
      </c>
      <c r="K220" s="118">
        <f t="shared" si="199"/>
        <v>151679</v>
      </c>
      <c r="L220" s="341">
        <f>'2018 Sommerlejr'!C24</f>
        <v>162375</v>
      </c>
      <c r="M220" s="73">
        <v>167561.92000000001</v>
      </c>
      <c r="N220" s="73"/>
      <c r="O220" s="118">
        <f t="shared" si="200"/>
        <v>167561.92000000001</v>
      </c>
      <c r="P220" s="456">
        <v>170000</v>
      </c>
      <c r="Q220" s="456">
        <v>170000</v>
      </c>
      <c r="R220" s="456">
        <v>170000</v>
      </c>
      <c r="S220" s="369"/>
    </row>
    <row r="221" spans="1:19" ht="15" customHeight="1" outlineLevel="1">
      <c r="A221" s="26" t="s">
        <v>136</v>
      </c>
      <c r="B221" s="33">
        <v>4010</v>
      </c>
      <c r="C221" s="90">
        <v>420201</v>
      </c>
      <c r="D221" s="56" t="s">
        <v>270</v>
      </c>
      <c r="E221" s="44"/>
      <c r="F221" s="231">
        <v>27000</v>
      </c>
      <c r="G221" s="249">
        <v>27000</v>
      </c>
      <c r="H221" s="178">
        <v>27000</v>
      </c>
      <c r="I221" s="178">
        <v>18000</v>
      </c>
      <c r="J221" s="178">
        <v>0</v>
      </c>
      <c r="K221" s="178">
        <f t="shared" si="199"/>
        <v>18000</v>
      </c>
      <c r="L221" s="426">
        <v>0</v>
      </c>
      <c r="M221" s="213">
        <v>0</v>
      </c>
      <c r="N221" s="213"/>
      <c r="O221" s="178">
        <f t="shared" si="200"/>
        <v>0</v>
      </c>
      <c r="P221" s="309">
        <v>0</v>
      </c>
      <c r="Q221" s="309">
        <v>0</v>
      </c>
      <c r="R221" s="309">
        <v>0</v>
      </c>
    </row>
    <row r="222" spans="1:19" ht="15" customHeight="1" outlineLevel="1">
      <c r="A222" s="26" t="s">
        <v>2</v>
      </c>
      <c r="B222" s="33"/>
      <c r="C222" s="112">
        <v>429999</v>
      </c>
      <c r="D222" s="10" t="s">
        <v>271</v>
      </c>
      <c r="F222" s="227">
        <f t="shared" ref="F222" si="205">SUM(F220:F221)</f>
        <v>117000</v>
      </c>
      <c r="G222" s="247">
        <f t="shared" ref="G222" si="206">SUM(G220:G221)</f>
        <v>189250</v>
      </c>
      <c r="H222" s="118">
        <f t="shared" ref="H222:N222" si="207">SUM(H220:H221)</f>
        <v>192550</v>
      </c>
      <c r="I222" s="118">
        <f t="shared" si="207"/>
        <v>169679</v>
      </c>
      <c r="J222" s="118">
        <f t="shared" si="207"/>
        <v>0</v>
      </c>
      <c r="K222" s="118">
        <f t="shared" si="199"/>
        <v>169679</v>
      </c>
      <c r="L222" s="339">
        <f t="shared" si="207"/>
        <v>162375</v>
      </c>
      <c r="M222" s="118">
        <f t="shared" si="207"/>
        <v>167561.92000000001</v>
      </c>
      <c r="N222" s="118">
        <f t="shared" si="207"/>
        <v>0</v>
      </c>
      <c r="O222" s="118">
        <f t="shared" ref="O222:O223" si="208">M222+N222</f>
        <v>167561.92000000001</v>
      </c>
      <c r="P222" s="219">
        <f t="shared" ref="P222:Q222" si="209">SUM(P220:P221)</f>
        <v>170000</v>
      </c>
      <c r="Q222" s="219">
        <f t="shared" si="209"/>
        <v>170000</v>
      </c>
      <c r="R222" s="219">
        <f t="shared" ref="R222" si="210">SUM(R220:R221)</f>
        <v>170000</v>
      </c>
    </row>
    <row r="223" spans="1:19" ht="12.75" customHeight="1" collapsed="1">
      <c r="A223" s="26" t="s">
        <v>0</v>
      </c>
      <c r="B223" s="33"/>
      <c r="C223" s="112">
        <v>410000</v>
      </c>
      <c r="D223" s="167" t="s">
        <v>186</v>
      </c>
      <c r="E223" s="348"/>
      <c r="F223" s="227">
        <f t="shared" ref="F223" si="211">F240</f>
        <v>105000</v>
      </c>
      <c r="G223" s="247">
        <f t="shared" ref="G223" si="212">G240</f>
        <v>150002</v>
      </c>
      <c r="H223" s="118">
        <f t="shared" ref="H223:N223" si="213">H240</f>
        <v>127000</v>
      </c>
      <c r="I223" s="118">
        <f t="shared" si="213"/>
        <v>179412</v>
      </c>
      <c r="J223" s="118">
        <f t="shared" si="213"/>
        <v>0</v>
      </c>
      <c r="K223" s="118">
        <f t="shared" si="199"/>
        <v>179412</v>
      </c>
      <c r="L223" s="339">
        <f t="shared" si="213"/>
        <v>189250</v>
      </c>
      <c r="M223" s="118">
        <f t="shared" si="213"/>
        <v>211788.18</v>
      </c>
      <c r="N223" s="118">
        <f t="shared" si="213"/>
        <v>0</v>
      </c>
      <c r="O223" s="118">
        <f t="shared" si="208"/>
        <v>211788.18</v>
      </c>
      <c r="P223" s="219">
        <f t="shared" ref="P223:Q223" si="214">P240</f>
        <v>142250</v>
      </c>
      <c r="Q223" s="219">
        <f t="shared" si="214"/>
        <v>136250</v>
      </c>
      <c r="R223" s="219">
        <f t="shared" ref="R223" si="215">R240</f>
        <v>156250</v>
      </c>
    </row>
    <row r="224" spans="1:19" ht="9" hidden="1" customHeight="1" outlineLevel="1">
      <c r="B224" s="33"/>
      <c r="F224" s="227"/>
      <c r="G224" s="246"/>
      <c r="H224" s="118"/>
      <c r="I224" s="118"/>
      <c r="J224" s="118"/>
      <c r="K224" s="118"/>
      <c r="L224" s="339"/>
      <c r="M224" s="118"/>
      <c r="N224" s="118"/>
      <c r="O224" s="118"/>
      <c r="P224" s="219"/>
      <c r="Q224" s="219"/>
      <c r="R224" s="219"/>
    </row>
    <row r="225" spans="1:19" ht="15" hidden="1" customHeight="1" outlineLevel="1" collapsed="1">
      <c r="A225" s="26" t="s">
        <v>0</v>
      </c>
      <c r="B225" s="33"/>
      <c r="C225" s="112">
        <v>410100</v>
      </c>
      <c r="D225" s="10" t="s">
        <v>90</v>
      </c>
      <c r="E225" s="344"/>
      <c r="F225" s="227"/>
      <c r="G225" s="246"/>
      <c r="H225" s="118">
        <f>H232</f>
        <v>120500</v>
      </c>
      <c r="I225" s="118">
        <f t="shared" ref="I225:O225" si="216">I232</f>
        <v>179412</v>
      </c>
      <c r="J225" s="118">
        <f t="shared" si="216"/>
        <v>0</v>
      </c>
      <c r="K225" s="118">
        <f t="shared" si="216"/>
        <v>179412</v>
      </c>
      <c r="L225" s="416">
        <f>L232</f>
        <v>184250</v>
      </c>
      <c r="M225" s="118">
        <f t="shared" si="216"/>
        <v>211788.18</v>
      </c>
      <c r="N225" s="118">
        <f t="shared" si="216"/>
        <v>0</v>
      </c>
      <c r="O225" s="118">
        <f t="shared" si="216"/>
        <v>211788.18</v>
      </c>
      <c r="P225" s="332">
        <f>P232</f>
        <v>137250</v>
      </c>
      <c r="Q225" s="332">
        <f>Q232</f>
        <v>131250</v>
      </c>
      <c r="R225" s="332">
        <f>R232</f>
        <v>151250</v>
      </c>
    </row>
    <row r="226" spans="1:19" ht="15" hidden="1" customHeight="1" outlineLevel="2">
      <c r="A226" s="26" t="s">
        <v>136</v>
      </c>
      <c r="B226" s="33">
        <v>5091</v>
      </c>
      <c r="C226" s="90">
        <v>410101</v>
      </c>
      <c r="D226" s="11" t="s">
        <v>41</v>
      </c>
      <c r="F226" s="227">
        <v>24000</v>
      </c>
      <c r="G226" s="247">
        <v>24000</v>
      </c>
      <c r="H226" s="118">
        <v>28500</v>
      </c>
      <c r="I226" s="118">
        <v>28437</v>
      </c>
      <c r="J226" s="118">
        <v>0</v>
      </c>
      <c r="K226" s="118">
        <f t="shared" ref="K226:K232" si="217">I226+J226</f>
        <v>28437</v>
      </c>
      <c r="L226" s="339">
        <v>26250</v>
      </c>
      <c r="M226" s="118">
        <v>26250</v>
      </c>
      <c r="N226" s="118"/>
      <c r="O226" s="118">
        <f t="shared" ref="O226:O232" si="218">M226+N226</f>
        <v>26250</v>
      </c>
      <c r="P226" s="219">
        <v>26250</v>
      </c>
      <c r="Q226" s="219">
        <v>26250</v>
      </c>
      <c r="R226" s="219">
        <v>26250</v>
      </c>
    </row>
    <row r="227" spans="1:19" ht="15" hidden="1" customHeight="1" outlineLevel="2">
      <c r="A227" s="26" t="s">
        <v>136</v>
      </c>
      <c r="B227" s="33">
        <v>5090</v>
      </c>
      <c r="C227" s="90">
        <v>410102</v>
      </c>
      <c r="D227" s="11" t="s">
        <v>15</v>
      </c>
      <c r="F227" s="227">
        <v>30000</v>
      </c>
      <c r="G227" s="247">
        <v>47951</v>
      </c>
      <c r="H227" s="118">
        <v>25000</v>
      </c>
      <c r="I227" s="118">
        <v>23883</v>
      </c>
      <c r="J227" s="118">
        <v>0</v>
      </c>
      <c r="K227" s="118">
        <f t="shared" si="217"/>
        <v>23883</v>
      </c>
      <c r="L227" s="339">
        <v>24000</v>
      </c>
      <c r="M227" s="118">
        <v>40261.1</v>
      </c>
      <c r="N227" s="118"/>
      <c r="O227" s="118">
        <f t="shared" si="218"/>
        <v>40261.1</v>
      </c>
      <c r="P227" s="219">
        <v>24000</v>
      </c>
      <c r="Q227" s="219">
        <v>24000</v>
      </c>
      <c r="R227" s="219">
        <v>24000</v>
      </c>
    </row>
    <row r="228" spans="1:19" ht="15" hidden="1" customHeight="1" outlineLevel="2">
      <c r="A228" s="26" t="s">
        <v>136</v>
      </c>
      <c r="B228" s="33"/>
      <c r="C228" s="90">
        <v>410103</v>
      </c>
      <c r="D228" s="11" t="s">
        <v>317</v>
      </c>
      <c r="F228" s="227">
        <v>0</v>
      </c>
      <c r="G228" s="248">
        <v>6981</v>
      </c>
      <c r="H228" s="118">
        <v>22000</v>
      </c>
      <c r="I228" s="118">
        <v>29464</v>
      </c>
      <c r="J228" s="118">
        <v>0</v>
      </c>
      <c r="K228" s="118">
        <f t="shared" si="217"/>
        <v>29464</v>
      </c>
      <c r="L228" s="339">
        <v>17000</v>
      </c>
      <c r="M228" s="118">
        <v>15954.63</v>
      </c>
      <c r="N228" s="118"/>
      <c r="O228" s="118">
        <f t="shared" si="218"/>
        <v>15954.63</v>
      </c>
      <c r="P228" s="219">
        <v>17000</v>
      </c>
      <c r="Q228" s="219">
        <v>17000</v>
      </c>
      <c r="R228" s="219">
        <v>17000</v>
      </c>
    </row>
    <row r="229" spans="1:19" ht="15" hidden="1" customHeight="1" outlineLevel="2">
      <c r="A229" s="26" t="s">
        <v>136</v>
      </c>
      <c r="B229" s="37">
        <v>7000</v>
      </c>
      <c r="C229" s="90">
        <v>410105</v>
      </c>
      <c r="D229" s="11" t="s">
        <v>298</v>
      </c>
      <c r="F229" s="227">
        <v>8000</v>
      </c>
      <c r="G229" s="248">
        <v>38422</v>
      </c>
      <c r="H229" s="118">
        <v>25000</v>
      </c>
      <c r="I229" s="118">
        <v>18215</v>
      </c>
      <c r="J229" s="118">
        <v>0</v>
      </c>
      <c r="K229" s="118">
        <f t="shared" si="217"/>
        <v>18215</v>
      </c>
      <c r="L229" s="339">
        <v>13000</v>
      </c>
      <c r="M229" s="118">
        <v>9170.52</v>
      </c>
      <c r="N229" s="118"/>
      <c r="O229" s="118">
        <f t="shared" si="218"/>
        <v>9170.52</v>
      </c>
      <c r="P229" s="219">
        <v>16000</v>
      </c>
      <c r="Q229" s="219">
        <v>10000</v>
      </c>
      <c r="R229" s="219">
        <v>10000</v>
      </c>
    </row>
    <row r="230" spans="1:19" ht="15" hidden="1" customHeight="1" outlineLevel="2">
      <c r="B230" s="37"/>
      <c r="C230" s="90">
        <v>410106</v>
      </c>
      <c r="D230" s="11" t="s">
        <v>489</v>
      </c>
      <c r="E230" s="26" t="s">
        <v>490</v>
      </c>
      <c r="F230" s="227"/>
      <c r="G230" s="248"/>
      <c r="H230" s="118">
        <v>0</v>
      </c>
      <c r="I230" s="118">
        <v>55858</v>
      </c>
      <c r="J230" s="118">
        <v>0</v>
      </c>
      <c r="K230" s="118">
        <f t="shared" si="217"/>
        <v>55858</v>
      </c>
      <c r="L230" s="339">
        <v>100000</v>
      </c>
      <c r="M230" s="118">
        <v>115861.18</v>
      </c>
      <c r="N230" s="118"/>
      <c r="O230" s="118">
        <f t="shared" si="218"/>
        <v>115861.18</v>
      </c>
      <c r="P230" s="219">
        <v>50000</v>
      </c>
      <c r="Q230" s="219">
        <v>50000</v>
      </c>
      <c r="R230" s="219">
        <v>50000</v>
      </c>
      <c r="S230" s="5"/>
    </row>
    <row r="231" spans="1:19" ht="15" hidden="1" customHeight="1" outlineLevel="2">
      <c r="A231" s="26" t="s">
        <v>136</v>
      </c>
      <c r="B231" s="37">
        <v>7040</v>
      </c>
      <c r="C231" s="90">
        <v>410107</v>
      </c>
      <c r="D231" s="11" t="s">
        <v>266</v>
      </c>
      <c r="F231" s="229">
        <v>20000</v>
      </c>
      <c r="G231" s="249">
        <v>20035</v>
      </c>
      <c r="H231" s="178">
        <v>20000</v>
      </c>
      <c r="I231" s="178">
        <v>23555</v>
      </c>
      <c r="J231" s="178">
        <v>0</v>
      </c>
      <c r="K231" s="178">
        <f t="shared" si="217"/>
        <v>23555</v>
      </c>
      <c r="L231" s="420">
        <v>4000</v>
      </c>
      <c r="M231" s="178">
        <v>4290.75</v>
      </c>
      <c r="N231" s="178"/>
      <c r="O231" s="178">
        <f t="shared" si="218"/>
        <v>4290.75</v>
      </c>
      <c r="P231" s="296">
        <v>4000</v>
      </c>
      <c r="Q231" s="296">
        <v>4000</v>
      </c>
      <c r="R231" s="296">
        <v>24000</v>
      </c>
    </row>
    <row r="232" spans="1:19" ht="15" hidden="1" customHeight="1" outlineLevel="2">
      <c r="A232" s="26" t="s">
        <v>2</v>
      </c>
      <c r="B232" s="34" t="s">
        <v>165</v>
      </c>
      <c r="C232" s="112">
        <v>410199</v>
      </c>
      <c r="D232" s="10" t="s">
        <v>168</v>
      </c>
      <c r="F232" s="226">
        <f t="shared" ref="F232" si="219">SUM(F226:F231)</f>
        <v>82000</v>
      </c>
      <c r="G232" s="245">
        <f t="shared" ref="G232" si="220">SUM(G226:G231)</f>
        <v>137389</v>
      </c>
      <c r="H232" s="179">
        <f>SUM(H226:H231)</f>
        <v>120500</v>
      </c>
      <c r="I232" s="179">
        <f t="shared" ref="I232:J232" si="221">SUM(I226:I231)</f>
        <v>179412</v>
      </c>
      <c r="J232" s="179">
        <f t="shared" si="221"/>
        <v>0</v>
      </c>
      <c r="K232" s="179">
        <f t="shared" si="217"/>
        <v>179412</v>
      </c>
      <c r="L232" s="419">
        <f>SUM(L226:L231)</f>
        <v>184250</v>
      </c>
      <c r="M232" s="179">
        <f t="shared" ref="M232:N232" si="222">SUM(M226:M231)</f>
        <v>211788.18</v>
      </c>
      <c r="N232" s="179">
        <f t="shared" si="222"/>
        <v>0</v>
      </c>
      <c r="O232" s="179">
        <f t="shared" si="218"/>
        <v>211788.18</v>
      </c>
      <c r="P232" s="220">
        <f>SUM(P226:P231)</f>
        <v>137250</v>
      </c>
      <c r="Q232" s="220">
        <f>SUM(Q226:Q231)</f>
        <v>131250</v>
      </c>
      <c r="R232" s="220">
        <f>SUM(R226:R231)</f>
        <v>151250</v>
      </c>
    </row>
    <row r="233" spans="1:19" ht="15" hidden="1" customHeight="1" outlineLevel="1" collapsed="1">
      <c r="A233" s="26" t="s">
        <v>0</v>
      </c>
      <c r="B233" s="37"/>
      <c r="C233" s="112">
        <v>410200</v>
      </c>
      <c r="D233" s="10" t="s">
        <v>40</v>
      </c>
      <c r="E233" s="344"/>
      <c r="F233" s="227"/>
      <c r="G233" s="246"/>
      <c r="H233" s="118">
        <f>H238</f>
        <v>6500</v>
      </c>
      <c r="I233" s="118">
        <f t="shared" ref="I233:N233" si="223">I238</f>
        <v>0</v>
      </c>
      <c r="J233" s="118">
        <f t="shared" si="223"/>
        <v>0</v>
      </c>
      <c r="K233" s="118">
        <f t="shared" si="223"/>
        <v>0</v>
      </c>
      <c r="L233" s="416">
        <f>L238</f>
        <v>5000</v>
      </c>
      <c r="M233" s="118">
        <f t="shared" si="223"/>
        <v>0</v>
      </c>
      <c r="N233" s="118">
        <f t="shared" si="223"/>
        <v>0</v>
      </c>
      <c r="O233" s="118">
        <f t="shared" ref="O233" si="224">O238</f>
        <v>0</v>
      </c>
      <c r="P233" s="332">
        <f>P238</f>
        <v>5000</v>
      </c>
      <c r="Q233" s="332">
        <f>Q238</f>
        <v>5000</v>
      </c>
      <c r="R233" s="332">
        <f>R238</f>
        <v>5000</v>
      </c>
    </row>
    <row r="234" spans="1:19" ht="15" hidden="1" customHeight="1" outlineLevel="2">
      <c r="A234" s="26" t="s">
        <v>136</v>
      </c>
      <c r="B234" s="37">
        <v>7020</v>
      </c>
      <c r="C234" s="90">
        <v>410201</v>
      </c>
      <c r="D234" s="11" t="s">
        <v>267</v>
      </c>
      <c r="F234" s="227">
        <v>5000</v>
      </c>
      <c r="G234" s="248">
        <v>799</v>
      </c>
      <c r="H234" s="118">
        <v>1500</v>
      </c>
      <c r="I234" s="118">
        <v>0</v>
      </c>
      <c r="J234" s="118">
        <v>0</v>
      </c>
      <c r="K234" s="118">
        <f>I234+J234</f>
        <v>0</v>
      </c>
      <c r="L234" s="339">
        <v>0</v>
      </c>
      <c r="M234" s="118"/>
      <c r="N234" s="118"/>
      <c r="O234" s="118">
        <f>M234+N234</f>
        <v>0</v>
      </c>
      <c r="P234" s="219">
        <v>0</v>
      </c>
      <c r="Q234" s="219">
        <v>0</v>
      </c>
      <c r="R234" s="219">
        <v>0</v>
      </c>
    </row>
    <row r="235" spans="1:19" ht="15" hidden="1" customHeight="1" outlineLevel="2">
      <c r="A235" s="26" t="s">
        <v>136</v>
      </c>
      <c r="B235" s="34" t="s">
        <v>67</v>
      </c>
      <c r="C235" s="90">
        <v>410202</v>
      </c>
      <c r="D235" s="11" t="s">
        <v>269</v>
      </c>
      <c r="E235" s="259"/>
      <c r="F235" s="227">
        <v>8000</v>
      </c>
      <c r="G235" s="247">
        <v>4910</v>
      </c>
      <c r="H235" s="118">
        <v>5000</v>
      </c>
      <c r="I235" s="118">
        <v>0</v>
      </c>
      <c r="J235" s="118">
        <v>0</v>
      </c>
      <c r="K235" s="118">
        <f>I235+J235</f>
        <v>0</v>
      </c>
      <c r="L235" s="339">
        <v>5000</v>
      </c>
      <c r="M235" s="118"/>
      <c r="N235" s="118"/>
      <c r="O235" s="118">
        <f>M235+N235</f>
        <v>0</v>
      </c>
      <c r="P235" s="219">
        <v>5000</v>
      </c>
      <c r="Q235" s="219">
        <v>5000</v>
      </c>
      <c r="R235" s="219">
        <v>5000</v>
      </c>
    </row>
    <row r="236" spans="1:19" ht="15" hidden="1" customHeight="1" outlineLevel="2">
      <c r="A236" s="26" t="s">
        <v>136</v>
      </c>
      <c r="B236" s="34"/>
      <c r="C236" s="90">
        <v>410209</v>
      </c>
      <c r="D236" s="11" t="s">
        <v>268</v>
      </c>
      <c r="E236" s="259"/>
      <c r="F236" s="227">
        <v>0</v>
      </c>
      <c r="G236" s="247">
        <v>0</v>
      </c>
      <c r="H236" s="118">
        <v>0</v>
      </c>
      <c r="I236" s="118">
        <v>0</v>
      </c>
      <c r="J236" s="118">
        <v>0</v>
      </c>
      <c r="K236" s="118">
        <f>I236+J236</f>
        <v>0</v>
      </c>
      <c r="L236" s="339">
        <v>0</v>
      </c>
      <c r="M236" s="118"/>
      <c r="N236" s="118"/>
      <c r="O236" s="118">
        <f>M236+N236</f>
        <v>0</v>
      </c>
      <c r="P236" s="219">
        <v>0</v>
      </c>
      <c r="Q236" s="219">
        <v>0</v>
      </c>
      <c r="R236" s="219">
        <v>0</v>
      </c>
    </row>
    <row r="237" spans="1:19" ht="15" hidden="1" customHeight="1" outlineLevel="2">
      <c r="A237" s="26" t="s">
        <v>136</v>
      </c>
      <c r="B237" s="34"/>
      <c r="C237" s="90">
        <v>410288</v>
      </c>
      <c r="D237" s="56" t="s">
        <v>35</v>
      </c>
      <c r="E237" s="44"/>
      <c r="F237" s="229">
        <v>10000</v>
      </c>
      <c r="G237" s="249">
        <v>6904</v>
      </c>
      <c r="H237" s="178">
        <v>0</v>
      </c>
      <c r="I237" s="178">
        <v>0</v>
      </c>
      <c r="J237" s="178">
        <v>0</v>
      </c>
      <c r="K237" s="178">
        <f>I237+J237</f>
        <v>0</v>
      </c>
      <c r="L237" s="420">
        <v>0</v>
      </c>
      <c r="M237" s="178"/>
      <c r="N237" s="178"/>
      <c r="O237" s="178">
        <f>M237+N237</f>
        <v>0</v>
      </c>
      <c r="P237" s="296">
        <v>0</v>
      </c>
      <c r="Q237" s="296">
        <v>0</v>
      </c>
      <c r="R237" s="296">
        <v>0</v>
      </c>
    </row>
    <row r="238" spans="1:19" ht="12.75" hidden="1" customHeight="1" outlineLevel="2">
      <c r="A238" s="26" t="s">
        <v>2</v>
      </c>
      <c r="B238" s="34" t="s">
        <v>165</v>
      </c>
      <c r="C238" s="112">
        <v>410299</v>
      </c>
      <c r="D238" s="10" t="s">
        <v>42</v>
      </c>
      <c r="F238" s="226">
        <f t="shared" ref="F238:G238" si="225">SUM(F234:F237)</f>
        <v>23000</v>
      </c>
      <c r="G238" s="245">
        <f t="shared" si="225"/>
        <v>12613</v>
      </c>
      <c r="H238" s="179">
        <f t="shared" ref="H238:J238" si="226">SUM(H234:H237)</f>
        <v>6500</v>
      </c>
      <c r="I238" s="179">
        <f t="shared" si="226"/>
        <v>0</v>
      </c>
      <c r="J238" s="179">
        <f t="shared" si="226"/>
        <v>0</v>
      </c>
      <c r="K238" s="179">
        <f>I238+J238</f>
        <v>0</v>
      </c>
      <c r="L238" s="419">
        <f t="shared" ref="L238:P238" si="227">SUM(L234:L237)</f>
        <v>5000</v>
      </c>
      <c r="M238" s="179">
        <f t="shared" si="227"/>
        <v>0</v>
      </c>
      <c r="N238" s="179">
        <f t="shared" si="227"/>
        <v>0</v>
      </c>
      <c r="O238" s="179">
        <f>M238+N238</f>
        <v>0</v>
      </c>
      <c r="P238" s="220">
        <f t="shared" si="227"/>
        <v>5000</v>
      </c>
      <c r="Q238" s="220">
        <f t="shared" ref="Q238:R238" si="228">SUM(Q234:Q237)</f>
        <v>5000</v>
      </c>
      <c r="R238" s="220">
        <f t="shared" si="228"/>
        <v>5000</v>
      </c>
    </row>
    <row r="239" spans="1:19" ht="9" hidden="1" customHeight="1" outlineLevel="1">
      <c r="B239" s="34"/>
      <c r="D239" s="10"/>
      <c r="F239" s="226"/>
      <c r="G239" s="245"/>
      <c r="H239" s="118"/>
      <c r="I239" s="118"/>
      <c r="J239" s="118"/>
      <c r="K239" s="118"/>
      <c r="L239" s="339"/>
      <c r="M239" s="118"/>
      <c r="N239" s="118"/>
      <c r="O239" s="118"/>
      <c r="P239" s="219"/>
      <c r="Q239" s="219"/>
      <c r="R239" s="219"/>
    </row>
    <row r="240" spans="1:19" hidden="1" outlineLevel="1">
      <c r="A240" s="26" t="s">
        <v>2</v>
      </c>
      <c r="B240" s="36">
        <v>7199</v>
      </c>
      <c r="C240" s="112">
        <v>419999</v>
      </c>
      <c r="D240" s="10" t="s">
        <v>169</v>
      </c>
      <c r="E240" s="344"/>
      <c r="F240" s="226">
        <f>F238+F232</f>
        <v>105000</v>
      </c>
      <c r="G240" s="245">
        <f>G232+G238</f>
        <v>150002</v>
      </c>
      <c r="H240" s="179">
        <f>H238+H232</f>
        <v>127000</v>
      </c>
      <c r="I240" s="179">
        <f>I238+I232</f>
        <v>179412</v>
      </c>
      <c r="J240" s="179">
        <f>J238+J232</f>
        <v>0</v>
      </c>
      <c r="K240" s="118">
        <f>I240+J240</f>
        <v>179412</v>
      </c>
      <c r="L240" s="419">
        <f t="shared" ref="L240:R240" si="229">L238+L232</f>
        <v>189250</v>
      </c>
      <c r="M240" s="220">
        <f t="shared" si="229"/>
        <v>211788.18</v>
      </c>
      <c r="N240" s="179">
        <f t="shared" si="229"/>
        <v>0</v>
      </c>
      <c r="O240" s="251">
        <f t="shared" si="229"/>
        <v>211788.18</v>
      </c>
      <c r="P240" s="220">
        <f t="shared" si="229"/>
        <v>142250</v>
      </c>
      <c r="Q240" s="220">
        <f t="shared" si="229"/>
        <v>136250</v>
      </c>
      <c r="R240" s="220">
        <f t="shared" si="229"/>
        <v>156250</v>
      </c>
    </row>
    <row r="241" spans="1:18" ht="12.75" customHeight="1">
      <c r="A241" s="26" t="s">
        <v>0</v>
      </c>
      <c r="B241" s="33"/>
      <c r="C241" s="112">
        <v>500000</v>
      </c>
      <c r="D241" s="27" t="s">
        <v>133</v>
      </c>
      <c r="E241" s="347"/>
      <c r="F241" s="227">
        <f>F242+F302+F355</f>
        <v>1262938.6666666665</v>
      </c>
      <c r="G241" s="247">
        <f>G242+G302+G355</f>
        <v>1180351</v>
      </c>
      <c r="H241" s="118">
        <f>H242+H302+H355</f>
        <v>1280827</v>
      </c>
      <c r="I241" s="118">
        <f>I242+I302+I355</f>
        <v>1184882</v>
      </c>
      <c r="J241" s="118">
        <f>J242+J302+J355</f>
        <v>0</v>
      </c>
      <c r="K241" s="118">
        <f>I241+J241</f>
        <v>1184882</v>
      </c>
      <c r="L241" s="341">
        <f t="shared" ref="L241:R241" si="230">L242+L302+L355+L359</f>
        <v>2120969</v>
      </c>
      <c r="M241" s="298">
        <f t="shared" si="230"/>
        <v>2087883.07</v>
      </c>
      <c r="N241" s="73">
        <f t="shared" si="230"/>
        <v>0</v>
      </c>
      <c r="O241" s="445">
        <f t="shared" si="230"/>
        <v>2087883.07</v>
      </c>
      <c r="P241" s="298">
        <f t="shared" si="230"/>
        <v>2007319</v>
      </c>
      <c r="Q241" s="298">
        <f t="shared" si="230"/>
        <v>2002069</v>
      </c>
      <c r="R241" s="298">
        <f t="shared" si="230"/>
        <v>1999069</v>
      </c>
    </row>
    <row r="242" spans="1:18" outlineLevel="1">
      <c r="A242" s="26" t="s">
        <v>0</v>
      </c>
      <c r="B242" s="33"/>
      <c r="C242" s="336">
        <v>519999</v>
      </c>
      <c r="D242" s="334" t="s">
        <v>406</v>
      </c>
      <c r="E242" s="350"/>
      <c r="F242" s="227">
        <f t="shared" ref="F242" si="231">F256+F261</f>
        <v>654800</v>
      </c>
      <c r="G242" s="247">
        <f t="shared" ref="G242" si="232">G256+G261</f>
        <v>637480</v>
      </c>
      <c r="H242" s="118">
        <f t="shared" ref="H242:J242" si="233">H256+H261</f>
        <v>675700</v>
      </c>
      <c r="I242" s="118">
        <f t="shared" si="233"/>
        <v>659931</v>
      </c>
      <c r="J242" s="118">
        <f t="shared" si="233"/>
        <v>0</v>
      </c>
      <c r="K242" s="118">
        <f>I242+J242</f>
        <v>659931</v>
      </c>
      <c r="L242" s="341">
        <f>L300</f>
        <v>983750</v>
      </c>
      <c r="M242" s="298">
        <f>M300</f>
        <v>997139.65999999992</v>
      </c>
      <c r="N242" s="73">
        <f>N300</f>
        <v>0</v>
      </c>
      <c r="O242" s="118">
        <f>M242+N242</f>
        <v>997139.65999999992</v>
      </c>
      <c r="P242" s="298">
        <f>P300</f>
        <v>921350</v>
      </c>
      <c r="Q242" s="298">
        <f>Q300</f>
        <v>916100</v>
      </c>
      <c r="R242" s="298">
        <f>R300</f>
        <v>913100</v>
      </c>
    </row>
    <row r="243" spans="1:18" ht="9" customHeight="1" outlineLevel="2">
      <c r="B243" s="33"/>
      <c r="D243" s="10"/>
      <c r="F243" s="227"/>
      <c r="G243" s="247"/>
      <c r="H243" s="118"/>
      <c r="I243" s="5"/>
      <c r="J243" s="5"/>
      <c r="K243" s="118"/>
      <c r="L243" s="339"/>
      <c r="M243" s="118"/>
      <c r="N243" s="118"/>
      <c r="O243" s="118"/>
      <c r="P243" s="219"/>
      <c r="Q243" s="219"/>
      <c r="R243" s="219"/>
    </row>
    <row r="244" spans="1:18" outlineLevel="2" collapsed="1">
      <c r="A244" s="26" t="s">
        <v>0</v>
      </c>
      <c r="B244" s="33"/>
      <c r="C244" s="112">
        <v>510100</v>
      </c>
      <c r="D244" s="50" t="s">
        <v>414</v>
      </c>
      <c r="E244" s="316" t="s">
        <v>438</v>
      </c>
      <c r="F244" s="228"/>
      <c r="G244" s="248"/>
      <c r="H244" s="118">
        <f t="shared" ref="H244:R244" si="234">H256</f>
        <v>560700</v>
      </c>
      <c r="I244" s="118">
        <f t="shared" si="234"/>
        <v>544931</v>
      </c>
      <c r="J244" s="118">
        <f t="shared" si="234"/>
        <v>0</v>
      </c>
      <c r="K244" s="118">
        <f t="shared" si="234"/>
        <v>544931</v>
      </c>
      <c r="L244" s="416">
        <f t="shared" si="234"/>
        <v>0</v>
      </c>
      <c r="M244" s="358"/>
      <c r="N244" s="358"/>
      <c r="O244" s="358"/>
      <c r="P244" s="332">
        <f t="shared" si="234"/>
        <v>0</v>
      </c>
      <c r="Q244" s="332">
        <f t="shared" si="234"/>
        <v>0</v>
      </c>
      <c r="R244" s="332">
        <f t="shared" si="234"/>
        <v>0</v>
      </c>
    </row>
    <row r="245" spans="1:18" hidden="1" outlineLevel="3">
      <c r="A245" s="26" t="s">
        <v>136</v>
      </c>
      <c r="B245" s="33">
        <v>5200</v>
      </c>
      <c r="C245" s="90">
        <v>510101</v>
      </c>
      <c r="D245" s="11" t="s">
        <v>89</v>
      </c>
      <c r="F245" s="227">
        <v>356000</v>
      </c>
      <c r="G245" s="248">
        <v>359083</v>
      </c>
      <c r="H245" s="118">
        <v>360000</v>
      </c>
      <c r="I245" s="118">
        <v>352834</v>
      </c>
      <c r="J245" s="73">
        <v>0</v>
      </c>
      <c r="K245" s="118">
        <f t="shared" ref="K245:K256" si="235">I245+J245</f>
        <v>352834</v>
      </c>
      <c r="L245" s="339"/>
      <c r="M245" s="118"/>
      <c r="N245" s="118"/>
      <c r="O245" s="118"/>
      <c r="P245" s="219"/>
      <c r="Q245" s="219"/>
      <c r="R245" s="219"/>
    </row>
    <row r="246" spans="1:18" hidden="1" outlineLevel="3">
      <c r="A246" s="26" t="s">
        <v>136</v>
      </c>
      <c r="B246" s="36">
        <v>5202</v>
      </c>
      <c r="C246" s="110">
        <v>510102</v>
      </c>
      <c r="D246" s="56" t="s">
        <v>131</v>
      </c>
      <c r="E246" s="155"/>
      <c r="F246" s="228">
        <v>79000</v>
      </c>
      <c r="G246" s="248">
        <v>82000</v>
      </c>
      <c r="H246" s="118">
        <v>83000</v>
      </c>
      <c r="I246" s="118">
        <v>90000</v>
      </c>
      <c r="J246" s="73">
        <v>0</v>
      </c>
      <c r="K246" s="118">
        <f t="shared" si="235"/>
        <v>90000</v>
      </c>
      <c r="L246" s="339"/>
      <c r="M246" s="118"/>
      <c r="N246" s="118"/>
      <c r="O246" s="118"/>
      <c r="P246" s="219"/>
      <c r="Q246" s="219"/>
      <c r="R246" s="219"/>
    </row>
    <row r="247" spans="1:18" hidden="1" outlineLevel="3">
      <c r="A247" s="26" t="s">
        <v>136</v>
      </c>
      <c r="B247" s="33">
        <v>5205</v>
      </c>
      <c r="C247" s="90">
        <v>510103</v>
      </c>
      <c r="D247" s="56" t="s">
        <v>400</v>
      </c>
      <c r="F247" s="227">
        <v>35000</v>
      </c>
      <c r="G247" s="247">
        <v>8465</v>
      </c>
      <c r="H247" s="118">
        <v>45000</v>
      </c>
      <c r="I247" s="118">
        <v>15407</v>
      </c>
      <c r="J247" s="73">
        <v>0</v>
      </c>
      <c r="K247" s="118">
        <f t="shared" si="235"/>
        <v>15407</v>
      </c>
      <c r="L247" s="339"/>
      <c r="M247" s="118"/>
      <c r="N247" s="118"/>
      <c r="O247" s="118"/>
      <c r="P247" s="219"/>
      <c r="Q247" s="219"/>
      <c r="R247" s="219"/>
    </row>
    <row r="248" spans="1:18" hidden="1" outlineLevel="3">
      <c r="A248" s="26" t="s">
        <v>136</v>
      </c>
      <c r="B248" s="33">
        <v>5210</v>
      </c>
      <c r="C248" s="90">
        <v>510104</v>
      </c>
      <c r="D248" s="56" t="s">
        <v>189</v>
      </c>
      <c r="F248" s="227">
        <v>1200</v>
      </c>
      <c r="G248" s="248">
        <v>9301</v>
      </c>
      <c r="H248" s="118">
        <v>2700</v>
      </c>
      <c r="I248" s="118">
        <v>1436</v>
      </c>
      <c r="J248" s="118">
        <v>0</v>
      </c>
      <c r="K248" s="118">
        <f t="shared" si="235"/>
        <v>1436</v>
      </c>
      <c r="L248" s="339"/>
      <c r="M248" s="118"/>
      <c r="N248" s="118"/>
      <c r="O248" s="118"/>
      <c r="P248" s="219"/>
      <c r="Q248" s="219"/>
      <c r="R248" s="219"/>
    </row>
    <row r="249" spans="1:18" hidden="1" outlineLevel="3">
      <c r="A249" s="26" t="s">
        <v>136</v>
      </c>
      <c r="B249" s="36">
        <v>5212</v>
      </c>
      <c r="C249" s="90">
        <v>510105</v>
      </c>
      <c r="D249" s="56" t="s">
        <v>140</v>
      </c>
      <c r="E249" s="90"/>
      <c r="F249" s="227">
        <f>5000+25000</f>
        <v>30000</v>
      </c>
      <c r="G249" s="248">
        <v>36867</v>
      </c>
      <c r="H249" s="118">
        <v>39000</v>
      </c>
      <c r="I249" s="118">
        <v>40338</v>
      </c>
      <c r="J249" s="118">
        <v>0</v>
      </c>
      <c r="K249" s="118">
        <f t="shared" si="235"/>
        <v>40338</v>
      </c>
      <c r="L249" s="339"/>
      <c r="M249" s="118"/>
      <c r="N249" s="118"/>
      <c r="O249" s="118"/>
      <c r="P249" s="219"/>
      <c r="Q249" s="219"/>
      <c r="R249" s="219"/>
    </row>
    <row r="250" spans="1:18" hidden="1" outlineLevel="3">
      <c r="A250" s="26" t="s">
        <v>136</v>
      </c>
      <c r="B250" s="36">
        <v>5216</v>
      </c>
      <c r="C250" s="90">
        <v>510106</v>
      </c>
      <c r="D250" s="56" t="s">
        <v>113</v>
      </c>
      <c r="E250" s="90"/>
      <c r="F250" s="227">
        <v>13800</v>
      </c>
      <c r="G250" s="248">
        <v>9077</v>
      </c>
      <c r="H250" s="118">
        <v>9000</v>
      </c>
      <c r="I250" s="118">
        <v>12083</v>
      </c>
      <c r="J250" s="118">
        <v>0</v>
      </c>
      <c r="K250" s="118">
        <f t="shared" si="235"/>
        <v>12083</v>
      </c>
      <c r="L250" s="339"/>
      <c r="M250" s="118"/>
      <c r="N250" s="118"/>
      <c r="O250" s="118"/>
      <c r="P250" s="219"/>
      <c r="Q250" s="219"/>
      <c r="R250" s="219"/>
    </row>
    <row r="251" spans="1:18" hidden="1" outlineLevel="3">
      <c r="A251" s="26" t="s">
        <v>136</v>
      </c>
      <c r="B251" s="33">
        <v>5218</v>
      </c>
      <c r="C251" s="90">
        <v>510107</v>
      </c>
      <c r="D251" s="56" t="s">
        <v>114</v>
      </c>
      <c r="F251" s="227">
        <v>5000</v>
      </c>
      <c r="G251" s="248">
        <v>5296</v>
      </c>
      <c r="H251" s="73">
        <v>12000</v>
      </c>
      <c r="I251" s="118">
        <v>11645</v>
      </c>
      <c r="J251" s="118">
        <v>0</v>
      </c>
      <c r="K251" s="118">
        <f t="shared" si="235"/>
        <v>11645</v>
      </c>
      <c r="L251" s="339"/>
      <c r="M251" s="118"/>
      <c r="N251" s="118"/>
      <c r="O251" s="118"/>
      <c r="P251" s="219"/>
      <c r="Q251" s="219"/>
      <c r="R251" s="219"/>
    </row>
    <row r="252" spans="1:18" hidden="1" outlineLevel="3">
      <c r="A252" s="26" t="s">
        <v>136</v>
      </c>
      <c r="B252" s="33">
        <v>5220</v>
      </c>
      <c r="C252" s="90">
        <v>510108</v>
      </c>
      <c r="D252" s="56" t="s">
        <v>116</v>
      </c>
      <c r="F252" s="227">
        <v>0</v>
      </c>
      <c r="G252" s="247">
        <v>0</v>
      </c>
      <c r="H252" s="118">
        <v>0</v>
      </c>
      <c r="I252" s="118">
        <v>7285</v>
      </c>
      <c r="J252" s="118">
        <v>0</v>
      </c>
      <c r="K252" s="118">
        <f t="shared" si="235"/>
        <v>7285</v>
      </c>
      <c r="L252" s="341"/>
      <c r="M252" s="73"/>
      <c r="N252" s="73"/>
      <c r="O252" s="73"/>
      <c r="P252" s="298"/>
      <c r="Q252" s="298"/>
      <c r="R252" s="298"/>
    </row>
    <row r="253" spans="1:18" hidden="1" outlineLevel="3">
      <c r="A253" s="26" t="s">
        <v>136</v>
      </c>
      <c r="B253" s="33">
        <v>5221</v>
      </c>
      <c r="C253" s="90">
        <v>510109</v>
      </c>
      <c r="D253" s="56" t="s">
        <v>117</v>
      </c>
      <c r="F253" s="227">
        <v>0</v>
      </c>
      <c r="G253" s="247">
        <v>0</v>
      </c>
      <c r="H253" s="118">
        <v>0</v>
      </c>
      <c r="I253" s="118">
        <v>318</v>
      </c>
      <c r="J253" s="118">
        <v>0</v>
      </c>
      <c r="K253" s="118">
        <f t="shared" si="235"/>
        <v>318</v>
      </c>
      <c r="L253" s="339"/>
      <c r="M253" s="118"/>
      <c r="N253" s="118"/>
      <c r="O253" s="118"/>
      <c r="P253" s="219"/>
      <c r="Q253" s="219"/>
      <c r="R253" s="219"/>
    </row>
    <row r="254" spans="1:18" hidden="1" outlineLevel="3">
      <c r="A254" s="26" t="s">
        <v>136</v>
      </c>
      <c r="B254" s="33">
        <v>5224</v>
      </c>
      <c r="C254" s="90">
        <v>510110</v>
      </c>
      <c r="D254" s="56" t="s">
        <v>115</v>
      </c>
      <c r="E254" s="310" t="s">
        <v>405</v>
      </c>
      <c r="F254" s="227">
        <v>5800</v>
      </c>
      <c r="G254" s="247">
        <v>2297</v>
      </c>
      <c r="H254" s="118">
        <v>10000</v>
      </c>
      <c r="I254" s="118">
        <v>13585</v>
      </c>
      <c r="J254" s="118">
        <v>0</v>
      </c>
      <c r="K254" s="118">
        <f t="shared" si="235"/>
        <v>13585</v>
      </c>
      <c r="L254" s="339"/>
      <c r="M254" s="118"/>
      <c r="N254" s="118"/>
      <c r="O254" s="118"/>
      <c r="P254" s="219"/>
      <c r="Q254" s="219"/>
      <c r="R254" s="219"/>
    </row>
    <row r="255" spans="1:18" hidden="1" outlineLevel="3">
      <c r="A255" s="26" t="s">
        <v>136</v>
      </c>
      <c r="B255" s="36">
        <v>5228</v>
      </c>
      <c r="C255" s="90">
        <v>510111</v>
      </c>
      <c r="D255" s="56" t="s">
        <v>118</v>
      </c>
      <c r="E255" s="90"/>
      <c r="F255" s="229">
        <v>4000</v>
      </c>
      <c r="G255" s="249">
        <v>94</v>
      </c>
      <c r="H255" s="178">
        <v>0</v>
      </c>
      <c r="I255" s="178">
        <v>0</v>
      </c>
      <c r="J255" s="178">
        <v>0</v>
      </c>
      <c r="K255" s="178">
        <f t="shared" si="235"/>
        <v>0</v>
      </c>
      <c r="L255" s="420"/>
      <c r="M255" s="178"/>
      <c r="N255" s="178"/>
      <c r="O255" s="178"/>
      <c r="P255" s="296"/>
      <c r="Q255" s="296"/>
      <c r="R255" s="296"/>
    </row>
    <row r="256" spans="1:18" hidden="1" outlineLevel="3">
      <c r="A256" s="26" t="s">
        <v>2</v>
      </c>
      <c r="B256" s="36">
        <v>5229</v>
      </c>
      <c r="C256" s="112">
        <v>510199</v>
      </c>
      <c r="D256" s="55" t="s">
        <v>141</v>
      </c>
      <c r="F256" s="227">
        <f t="shared" ref="F256" si="236">SUM(F245:F255)</f>
        <v>529800</v>
      </c>
      <c r="G256" s="247">
        <f>SUM(G245:G255)</f>
        <v>512480</v>
      </c>
      <c r="H256" s="118">
        <f>SUM(H245:H255)</f>
        <v>560700</v>
      </c>
      <c r="I256" s="118">
        <f t="shared" ref="I256:J256" si="237">SUM(I245:I255)</f>
        <v>544931</v>
      </c>
      <c r="J256" s="118">
        <f t="shared" si="237"/>
        <v>0</v>
      </c>
      <c r="K256" s="118">
        <f t="shared" si="235"/>
        <v>544931</v>
      </c>
      <c r="L256" s="427">
        <f>SUM(L245:L255)</f>
        <v>0</v>
      </c>
      <c r="M256" s="409"/>
      <c r="N256" s="409"/>
      <c r="O256" s="409"/>
      <c r="P256" s="311">
        <f>SUM(P245:P255)</f>
        <v>0</v>
      </c>
      <c r="Q256" s="311">
        <f>SUM(Q245:Q255)</f>
        <v>0</v>
      </c>
      <c r="R256" s="311">
        <f>SUM(R245:R255)</f>
        <v>0</v>
      </c>
    </row>
    <row r="257" spans="1:20" ht="5.0999999999999996" customHeight="1" outlineLevel="2">
      <c r="B257" s="33"/>
      <c r="D257" s="56"/>
      <c r="F257" s="227"/>
      <c r="G257" s="246"/>
      <c r="H257" s="118"/>
      <c r="I257" s="118"/>
      <c r="J257" s="118"/>
      <c r="K257" s="118"/>
      <c r="L257" s="339"/>
      <c r="M257" s="118"/>
      <c r="N257" s="118"/>
      <c r="O257" s="118"/>
      <c r="P257" s="219"/>
      <c r="Q257" s="219"/>
      <c r="R257" s="219"/>
    </row>
    <row r="258" spans="1:20" outlineLevel="2" collapsed="1">
      <c r="A258" s="26" t="s">
        <v>0</v>
      </c>
      <c r="B258" s="33"/>
      <c r="C258" s="112">
        <v>510200</v>
      </c>
      <c r="D258" s="50" t="s">
        <v>451</v>
      </c>
      <c r="E258" s="316" t="s">
        <v>438</v>
      </c>
      <c r="F258" s="227"/>
      <c r="G258" s="246"/>
      <c r="H258" s="118">
        <f t="shared" ref="H258:R258" si="238">H261</f>
        <v>115000</v>
      </c>
      <c r="I258" s="118">
        <f t="shared" si="238"/>
        <v>115000</v>
      </c>
      <c r="J258" s="118">
        <f t="shared" si="238"/>
        <v>0</v>
      </c>
      <c r="K258" s="118">
        <f t="shared" si="238"/>
        <v>115000</v>
      </c>
      <c r="L258" s="416">
        <f t="shared" si="238"/>
        <v>0</v>
      </c>
      <c r="M258" s="358"/>
      <c r="N258" s="358"/>
      <c r="O258" s="358"/>
      <c r="P258" s="332">
        <f t="shared" si="238"/>
        <v>0</v>
      </c>
      <c r="Q258" s="332">
        <f t="shared" si="238"/>
        <v>0</v>
      </c>
      <c r="R258" s="332">
        <f t="shared" si="238"/>
        <v>0</v>
      </c>
    </row>
    <row r="259" spans="1:20" hidden="1" outlineLevel="3">
      <c r="A259" s="26" t="s">
        <v>136</v>
      </c>
      <c r="B259" s="33">
        <v>30020</v>
      </c>
      <c r="C259" s="90">
        <v>510201</v>
      </c>
      <c r="D259" s="11" t="s">
        <v>156</v>
      </c>
      <c r="E259" s="61"/>
      <c r="F259" s="227">
        <v>125000</v>
      </c>
      <c r="G259" s="247">
        <v>58814</v>
      </c>
      <c r="H259" s="118">
        <v>48000</v>
      </c>
      <c r="I259" s="118">
        <v>48883</v>
      </c>
      <c r="J259" s="118">
        <v>0</v>
      </c>
      <c r="K259" s="118">
        <f>I259+J259</f>
        <v>48883</v>
      </c>
      <c r="L259" s="339">
        <v>0</v>
      </c>
      <c r="M259" s="118"/>
      <c r="N259" s="118"/>
      <c r="O259" s="118"/>
      <c r="P259" s="219">
        <v>0</v>
      </c>
      <c r="Q259" s="219">
        <v>0</v>
      </c>
      <c r="R259" s="219">
        <v>0</v>
      </c>
    </row>
    <row r="260" spans="1:20" hidden="1" outlineLevel="3">
      <c r="A260" s="26" t="s">
        <v>136</v>
      </c>
      <c r="B260" s="33">
        <v>20001</v>
      </c>
      <c r="C260" s="90">
        <v>510202</v>
      </c>
      <c r="D260" s="11" t="s">
        <v>132</v>
      </c>
      <c r="F260" s="229">
        <v>0</v>
      </c>
      <c r="G260" s="249">
        <v>66186</v>
      </c>
      <c r="H260" s="178">
        <v>67000</v>
      </c>
      <c r="I260" s="178">
        <v>66117</v>
      </c>
      <c r="J260" s="178">
        <v>0</v>
      </c>
      <c r="K260" s="178">
        <f>I260+J260</f>
        <v>66117</v>
      </c>
      <c r="L260" s="420">
        <v>0</v>
      </c>
      <c r="M260" s="178"/>
      <c r="N260" s="178"/>
      <c r="O260" s="178"/>
      <c r="P260" s="296">
        <v>0</v>
      </c>
      <c r="Q260" s="296">
        <v>0</v>
      </c>
      <c r="R260" s="296">
        <v>0</v>
      </c>
    </row>
    <row r="261" spans="1:20" hidden="1" outlineLevel="3">
      <c r="A261" s="26" t="s">
        <v>2</v>
      </c>
      <c r="B261" s="36">
        <v>30029</v>
      </c>
      <c r="C261" s="112">
        <v>510299</v>
      </c>
      <c r="D261" s="10" t="s">
        <v>155</v>
      </c>
      <c r="E261" s="61"/>
      <c r="F261" s="226">
        <f t="shared" ref="F261:G261" si="239">SUM(F258:F260)</f>
        <v>125000</v>
      </c>
      <c r="G261" s="245">
        <f t="shared" si="239"/>
        <v>125000</v>
      </c>
      <c r="H261" s="179">
        <f>SUM(H259:H260)</f>
        <v>115000</v>
      </c>
      <c r="I261" s="179">
        <f>SUM(I259:I260)</f>
        <v>115000</v>
      </c>
      <c r="J261" s="179">
        <f>SUM(J259:J260)</f>
        <v>0</v>
      </c>
      <c r="K261" s="118">
        <f>I261+J261</f>
        <v>115000</v>
      </c>
      <c r="L261" s="419">
        <f>SUM(L259:L260)</f>
        <v>0</v>
      </c>
      <c r="M261" s="179"/>
      <c r="N261" s="179"/>
      <c r="O261" s="179"/>
      <c r="P261" s="220">
        <f>SUM(P259:P260)</f>
        <v>0</v>
      </c>
      <c r="Q261" s="220">
        <f>SUM(Q259:Q260)</f>
        <v>0</v>
      </c>
      <c r="R261" s="220">
        <f>SUM(R259:R260)</f>
        <v>0</v>
      </c>
    </row>
    <row r="262" spans="1:20" ht="5.0999999999999996" customHeight="1" outlineLevel="2">
      <c r="B262" s="36"/>
      <c r="C262" s="112"/>
      <c r="D262" s="10"/>
      <c r="E262" s="61"/>
      <c r="F262" s="226"/>
      <c r="G262" s="245"/>
      <c r="H262" s="179"/>
      <c r="I262" s="179"/>
      <c r="J262" s="179"/>
      <c r="K262" s="118"/>
      <c r="L262" s="419"/>
      <c r="M262" s="179"/>
      <c r="N262" s="179"/>
      <c r="O262" s="179"/>
      <c r="P262" s="220"/>
      <c r="Q262" s="220"/>
      <c r="R262" s="220"/>
    </row>
    <row r="263" spans="1:20" outlineLevel="2">
      <c r="B263" s="36"/>
      <c r="C263" s="112">
        <v>511000</v>
      </c>
      <c r="D263" s="27" t="s">
        <v>415</v>
      </c>
      <c r="E263" s="355" t="s">
        <v>458</v>
      </c>
      <c r="F263" s="226"/>
      <c r="G263" s="245"/>
      <c r="H263" s="118"/>
      <c r="I263" s="118"/>
      <c r="J263" s="118"/>
      <c r="K263" s="118"/>
      <c r="L263" s="416">
        <f t="shared" ref="L263:R263" si="240">L300</f>
        <v>983750</v>
      </c>
      <c r="M263" s="118">
        <f t="shared" si="240"/>
        <v>997139.65999999992</v>
      </c>
      <c r="N263" s="118">
        <f t="shared" si="240"/>
        <v>0</v>
      </c>
      <c r="O263" s="118">
        <f t="shared" si="240"/>
        <v>997139.65999999992</v>
      </c>
      <c r="P263" s="332">
        <f t="shared" si="240"/>
        <v>921350</v>
      </c>
      <c r="Q263" s="332">
        <f t="shared" si="240"/>
        <v>916100</v>
      </c>
      <c r="R263" s="332">
        <f t="shared" si="240"/>
        <v>913100</v>
      </c>
    </row>
    <row r="264" spans="1:20" ht="9" customHeight="1" outlineLevel="3">
      <c r="B264" s="36"/>
      <c r="C264" s="112"/>
      <c r="D264" s="10"/>
      <c r="E264" s="61"/>
      <c r="F264" s="226"/>
      <c r="G264" s="245"/>
      <c r="H264" s="179"/>
      <c r="I264" s="179"/>
      <c r="J264" s="179"/>
      <c r="K264" s="118"/>
      <c r="L264" s="419"/>
      <c r="M264" s="179"/>
      <c r="N264" s="179"/>
      <c r="O264" s="179"/>
      <c r="P264" s="220"/>
      <c r="Q264" s="220"/>
      <c r="R264" s="220"/>
    </row>
    <row r="265" spans="1:20" outlineLevel="3">
      <c r="B265" s="36"/>
      <c r="C265" s="112">
        <v>511100</v>
      </c>
      <c r="D265" s="27" t="s">
        <v>413</v>
      </c>
      <c r="E265" s="317"/>
      <c r="F265" s="226"/>
      <c r="G265" s="245"/>
      <c r="H265" s="179"/>
      <c r="I265" s="179"/>
      <c r="J265" s="338"/>
      <c r="K265" s="338" t="s">
        <v>460</v>
      </c>
      <c r="L265" s="416">
        <f t="shared" ref="L265:R265" si="241">L273</f>
        <v>716750</v>
      </c>
      <c r="M265" s="118">
        <f t="shared" si="241"/>
        <v>769831.27999999991</v>
      </c>
      <c r="N265" s="118"/>
      <c r="O265" s="118">
        <f t="shared" si="241"/>
        <v>769831.27999999991</v>
      </c>
      <c r="P265" s="332">
        <f t="shared" si="241"/>
        <v>640350</v>
      </c>
      <c r="Q265" s="332">
        <f t="shared" si="241"/>
        <v>635100</v>
      </c>
      <c r="R265" s="332">
        <f t="shared" si="241"/>
        <v>632100</v>
      </c>
      <c r="T265" s="90" t="s">
        <v>431</v>
      </c>
    </row>
    <row r="266" spans="1:20" outlineLevel="4">
      <c r="B266" s="36"/>
      <c r="C266" s="90">
        <v>511101</v>
      </c>
      <c r="D266" s="11" t="s">
        <v>89</v>
      </c>
      <c r="E266" s="61"/>
      <c r="F266" s="226"/>
      <c r="G266" s="245"/>
      <c r="H266" s="179"/>
      <c r="I266" s="179"/>
      <c r="J266" s="338"/>
      <c r="K266" s="118"/>
      <c r="L266" s="341">
        <v>300000</v>
      </c>
      <c r="M266" s="73">
        <v>291616.05</v>
      </c>
      <c r="N266" s="73"/>
      <c r="O266" s="73">
        <f t="shared" ref="O266:O273" si="242">M266+N266</f>
        <v>291616.05</v>
      </c>
      <c r="P266" s="298">
        <v>300000</v>
      </c>
      <c r="Q266" s="298">
        <v>300000</v>
      </c>
      <c r="R266" s="298">
        <v>300000</v>
      </c>
      <c r="T266" s="6" t="s">
        <v>421</v>
      </c>
    </row>
    <row r="267" spans="1:20" outlineLevel="4">
      <c r="B267" s="36"/>
      <c r="C267" s="90">
        <v>511102</v>
      </c>
      <c r="D267" s="56" t="s">
        <v>131</v>
      </c>
      <c r="E267" s="61"/>
      <c r="F267" s="226"/>
      <c r="G267" s="245"/>
      <c r="H267" s="179"/>
      <c r="I267" s="179"/>
      <c r="J267" s="338"/>
      <c r="K267" s="118"/>
      <c r="L267" s="428">
        <v>230000</v>
      </c>
      <c r="M267" s="410">
        <v>228373.38</v>
      </c>
      <c r="N267" s="410"/>
      <c r="O267" s="410">
        <f t="shared" si="242"/>
        <v>228373.38</v>
      </c>
      <c r="P267" s="323">
        <v>230000</v>
      </c>
      <c r="Q267" s="323">
        <v>230000</v>
      </c>
      <c r="R267" s="323">
        <v>230000</v>
      </c>
      <c r="S267" s="318"/>
      <c r="T267" s="324">
        <f>L267+L276+L289</f>
        <v>290000</v>
      </c>
    </row>
    <row r="268" spans="1:20" outlineLevel="4">
      <c r="B268" s="36"/>
      <c r="C268" s="90">
        <v>511103</v>
      </c>
      <c r="D268" s="11" t="s">
        <v>416</v>
      </c>
      <c r="E268" s="61"/>
      <c r="F268" s="226"/>
      <c r="G268" s="245"/>
      <c r="H268" s="179"/>
      <c r="I268" s="179"/>
      <c r="J268" s="179"/>
      <c r="K268" s="118"/>
      <c r="L268" s="339">
        <v>4000</v>
      </c>
      <c r="M268" s="118">
        <v>0</v>
      </c>
      <c r="N268" s="118"/>
      <c r="O268" s="73">
        <f t="shared" si="242"/>
        <v>0</v>
      </c>
      <c r="P268" s="219">
        <v>10000</v>
      </c>
      <c r="Q268" s="219">
        <v>13000</v>
      </c>
      <c r="R268" s="219">
        <v>13000</v>
      </c>
    </row>
    <row r="269" spans="1:20" outlineLevel="4">
      <c r="B269" s="36"/>
      <c r="C269" s="90">
        <v>511104</v>
      </c>
      <c r="D269" s="11" t="s">
        <v>417</v>
      </c>
      <c r="E269" s="61" t="s">
        <v>418</v>
      </c>
      <c r="F269" s="226"/>
      <c r="G269" s="245"/>
      <c r="H269" s="179"/>
      <c r="I269" s="179"/>
      <c r="J269" s="179"/>
      <c r="K269" s="118"/>
      <c r="L269" s="339">
        <v>8000</v>
      </c>
      <c r="M269" s="118">
        <v>8672.18</v>
      </c>
      <c r="N269" s="118"/>
      <c r="O269" s="73">
        <f t="shared" si="242"/>
        <v>8672.18</v>
      </c>
      <c r="P269" s="219">
        <v>15000</v>
      </c>
      <c r="Q269" s="219">
        <v>5000</v>
      </c>
      <c r="R269" s="219">
        <v>2000</v>
      </c>
    </row>
    <row r="270" spans="1:20" ht="22.5" outlineLevel="4">
      <c r="B270" s="36"/>
      <c r="C270" s="90">
        <v>511105</v>
      </c>
      <c r="D270" s="11" t="s">
        <v>419</v>
      </c>
      <c r="E270" s="386" t="s">
        <v>513</v>
      </c>
      <c r="F270" s="226"/>
      <c r="G270" s="245"/>
      <c r="H270" s="179"/>
      <c r="I270" s="356"/>
      <c r="J270" s="179"/>
      <c r="K270" s="118"/>
      <c r="L270" s="341">
        <v>100000</v>
      </c>
      <c r="M270" s="73">
        <v>158321.32</v>
      </c>
      <c r="N270" s="73"/>
      <c r="O270" s="73">
        <f t="shared" si="242"/>
        <v>158321.32</v>
      </c>
      <c r="P270" s="298">
        <v>5000</v>
      </c>
      <c r="Q270" s="298">
        <v>5000</v>
      </c>
      <c r="R270" s="298">
        <v>5000</v>
      </c>
      <c r="S270" s="56"/>
    </row>
    <row r="271" spans="1:20" outlineLevel="4">
      <c r="B271" s="36"/>
      <c r="C271" s="90">
        <v>511106</v>
      </c>
      <c r="D271" s="56" t="s">
        <v>140</v>
      </c>
      <c r="E271" s="61"/>
      <c r="F271" s="227"/>
      <c r="G271" s="247"/>
      <c r="H271" s="118"/>
      <c r="I271" s="118"/>
      <c r="J271" s="118"/>
      <c r="K271" s="118"/>
      <c r="L271" s="339">
        <v>8000</v>
      </c>
      <c r="M271" s="118">
        <v>9240.49</v>
      </c>
      <c r="N271" s="118"/>
      <c r="O271" s="73">
        <f t="shared" si="242"/>
        <v>9240.49</v>
      </c>
      <c r="P271" s="219">
        <v>3000</v>
      </c>
      <c r="Q271" s="219">
        <v>3000</v>
      </c>
      <c r="R271" s="219">
        <v>3000</v>
      </c>
      <c r="T271" s="90" t="s">
        <v>432</v>
      </c>
    </row>
    <row r="272" spans="1:20" outlineLevel="4">
      <c r="B272" s="36"/>
      <c r="C272" s="90">
        <v>511108</v>
      </c>
      <c r="D272" s="56" t="s">
        <v>512</v>
      </c>
      <c r="E272" s="388"/>
      <c r="F272" s="227"/>
      <c r="G272" s="247"/>
      <c r="H272" s="118"/>
      <c r="I272" s="118"/>
      <c r="J272" s="118"/>
      <c r="K272" s="118"/>
      <c r="L272" s="429">
        <f>101000-34250</f>
        <v>66750</v>
      </c>
      <c r="M272" s="415">
        <v>73607.86</v>
      </c>
      <c r="N272" s="415"/>
      <c r="O272" s="444">
        <f t="shared" si="242"/>
        <v>73607.86</v>
      </c>
      <c r="P272" s="387">
        <f>111600-P366</f>
        <v>77350</v>
      </c>
      <c r="Q272" s="387">
        <f>113350-Q366</f>
        <v>79100</v>
      </c>
      <c r="R272" s="387">
        <f>113350-R366</f>
        <v>79100</v>
      </c>
      <c r="T272" s="385">
        <f>L272+L279+L285+L292+L297</f>
        <v>74750</v>
      </c>
    </row>
    <row r="273" spans="2:19" outlineLevel="4">
      <c r="B273" s="36"/>
      <c r="C273" s="90">
        <v>511109</v>
      </c>
      <c r="D273" s="10" t="s">
        <v>420</v>
      </c>
      <c r="E273" s="61"/>
      <c r="F273" s="227"/>
      <c r="G273" s="247"/>
      <c r="H273" s="118"/>
      <c r="I273" s="118"/>
      <c r="J273" s="118"/>
      <c r="K273" s="118"/>
      <c r="L273" s="419">
        <f>SUM(L266:L272)</f>
        <v>716750</v>
      </c>
      <c r="M273" s="179">
        <f>SUM(M266:M272)</f>
        <v>769831.27999999991</v>
      </c>
      <c r="N273" s="179">
        <f>SUM(N266:N272)</f>
        <v>0</v>
      </c>
      <c r="O273" s="118">
        <f t="shared" si="242"/>
        <v>769831.27999999991</v>
      </c>
      <c r="P273" s="220">
        <f>SUM(P266:P272)</f>
        <v>640350</v>
      </c>
      <c r="Q273" s="220">
        <f>SUM(Q266:Q272)</f>
        <v>635100</v>
      </c>
      <c r="R273" s="220">
        <f>SUM(R266:R272)</f>
        <v>632100</v>
      </c>
    </row>
    <row r="274" spans="2:19" ht="9" customHeight="1" outlineLevel="3">
      <c r="B274" s="36"/>
      <c r="C274" s="112"/>
      <c r="E274" s="61"/>
      <c r="F274" s="227"/>
      <c r="G274" s="247"/>
      <c r="H274" s="118"/>
      <c r="I274" s="118"/>
      <c r="J274" s="118"/>
      <c r="K274" s="118"/>
      <c r="L274" s="339"/>
      <c r="M274" s="118"/>
      <c r="N274" s="118"/>
      <c r="O274" s="118"/>
      <c r="P274" s="219"/>
      <c r="Q274" s="219"/>
      <c r="R274" s="219"/>
    </row>
    <row r="275" spans="2:19" outlineLevel="3">
      <c r="B275" s="36"/>
      <c r="C275" s="112">
        <v>511200</v>
      </c>
      <c r="D275" s="27" t="s">
        <v>435</v>
      </c>
      <c r="E275" s="61"/>
      <c r="F275" s="227"/>
      <c r="G275" s="247"/>
      <c r="H275" s="118"/>
      <c r="I275" s="118"/>
      <c r="J275" s="118"/>
      <c r="K275" s="118"/>
      <c r="L275" s="416">
        <f t="shared" ref="L275:R275" si="243">L280</f>
        <v>105000</v>
      </c>
      <c r="M275" s="118">
        <f t="shared" si="243"/>
        <v>101942.26999999999</v>
      </c>
      <c r="N275" s="118"/>
      <c r="O275" s="118">
        <f t="shared" si="243"/>
        <v>101942.26999999999</v>
      </c>
      <c r="P275" s="332">
        <f t="shared" si="243"/>
        <v>115000</v>
      </c>
      <c r="Q275" s="332">
        <f t="shared" si="243"/>
        <v>115000</v>
      </c>
      <c r="R275" s="332">
        <f t="shared" si="243"/>
        <v>115000</v>
      </c>
      <c r="S275" s="318"/>
    </row>
    <row r="276" spans="2:19" outlineLevel="4">
      <c r="B276" s="36"/>
      <c r="C276" s="90">
        <v>511201</v>
      </c>
      <c r="D276" s="56" t="s">
        <v>131</v>
      </c>
      <c r="E276" s="61"/>
      <c r="F276" s="227"/>
      <c r="G276" s="247"/>
      <c r="H276" s="118"/>
      <c r="I276" s="118"/>
      <c r="J276" s="338"/>
      <c r="K276" s="338" t="s">
        <v>460</v>
      </c>
      <c r="L276" s="430">
        <v>30000</v>
      </c>
      <c r="M276" s="324">
        <v>34800.379999999997</v>
      </c>
      <c r="N276" s="324"/>
      <c r="O276" s="324">
        <f>M276+N276</f>
        <v>34800.379999999997</v>
      </c>
      <c r="P276" s="322">
        <v>30000</v>
      </c>
      <c r="Q276" s="322">
        <v>30000</v>
      </c>
      <c r="R276" s="322">
        <v>30000</v>
      </c>
      <c r="S276" s="318"/>
    </row>
    <row r="277" spans="2:19" ht="12.75" customHeight="1" outlineLevel="4">
      <c r="B277" s="36"/>
      <c r="C277" s="90">
        <v>511202</v>
      </c>
      <c r="D277" s="56" t="s">
        <v>446</v>
      </c>
      <c r="E277" s="61"/>
      <c r="F277" s="227"/>
      <c r="G277" s="247"/>
      <c r="H277" s="118"/>
      <c r="I277" s="118"/>
      <c r="J277" s="118"/>
      <c r="K277" s="118"/>
      <c r="L277" s="339">
        <v>40000</v>
      </c>
      <c r="M277" s="118">
        <v>43841.89</v>
      </c>
      <c r="N277" s="118"/>
      <c r="O277" s="118">
        <f>M277+N277</f>
        <v>43841.89</v>
      </c>
      <c r="P277" s="219">
        <v>50000</v>
      </c>
      <c r="Q277" s="219">
        <v>50000</v>
      </c>
      <c r="R277" s="219">
        <v>50000</v>
      </c>
      <c r="S277" s="318"/>
    </row>
    <row r="278" spans="2:19" ht="12.75" customHeight="1" outlineLevel="4">
      <c r="B278" s="36"/>
      <c r="C278" s="90">
        <v>511203</v>
      </c>
      <c r="D278" s="11" t="s">
        <v>422</v>
      </c>
      <c r="E278" s="471"/>
      <c r="F278" s="471"/>
      <c r="G278" s="471"/>
      <c r="H278" s="471"/>
      <c r="I278" s="118"/>
      <c r="J278" s="118"/>
      <c r="K278" s="118"/>
      <c r="L278" s="339">
        <v>30000</v>
      </c>
      <c r="M278" s="118">
        <v>18300</v>
      </c>
      <c r="N278" s="118"/>
      <c r="O278" s="118">
        <f>M278+N278</f>
        <v>18300</v>
      </c>
      <c r="P278" s="219">
        <v>30000</v>
      </c>
      <c r="Q278" s="219">
        <v>30000</v>
      </c>
      <c r="R278" s="219">
        <v>30000</v>
      </c>
    </row>
    <row r="279" spans="2:19" outlineLevel="4">
      <c r="B279" s="36"/>
      <c r="C279" s="90">
        <v>511204</v>
      </c>
      <c r="D279" s="56" t="s">
        <v>426</v>
      </c>
      <c r="E279" s="61"/>
      <c r="F279" s="227"/>
      <c r="G279" s="247"/>
      <c r="H279" s="118"/>
      <c r="I279" s="118"/>
      <c r="J279" s="118"/>
      <c r="K279" s="325" t="s">
        <v>437</v>
      </c>
      <c r="L279" s="431">
        <v>5000</v>
      </c>
      <c r="M279" s="415">
        <v>5000</v>
      </c>
      <c r="N279" s="411">
        <v>0</v>
      </c>
      <c r="O279" s="411"/>
      <c r="P279" s="308">
        <v>5000</v>
      </c>
      <c r="Q279" s="308">
        <v>5000</v>
      </c>
      <c r="R279" s="308">
        <v>5000</v>
      </c>
    </row>
    <row r="280" spans="2:19" outlineLevel="4">
      <c r="B280" s="36"/>
      <c r="C280" s="112">
        <v>511209</v>
      </c>
      <c r="D280" s="55" t="s">
        <v>429</v>
      </c>
      <c r="E280" s="61"/>
      <c r="F280" s="227"/>
      <c r="G280" s="247"/>
      <c r="H280" s="118"/>
      <c r="I280" s="118"/>
      <c r="J280" s="118"/>
      <c r="K280" s="118"/>
      <c r="L280" s="419">
        <f>SUM(L276:L279)</f>
        <v>105000</v>
      </c>
      <c r="M280" s="179">
        <f>SUM(M276:M279)</f>
        <v>101942.26999999999</v>
      </c>
      <c r="N280" s="179">
        <f>SUM(N276:N279)</f>
        <v>0</v>
      </c>
      <c r="O280" s="118">
        <f>M280+N280</f>
        <v>101942.26999999999</v>
      </c>
      <c r="P280" s="220">
        <f>SUM(P276:P279)</f>
        <v>115000</v>
      </c>
      <c r="Q280" s="220">
        <f>SUM(Q276:Q279)</f>
        <v>115000</v>
      </c>
      <c r="R280" s="220">
        <f>SUM(R276:R279)</f>
        <v>115000</v>
      </c>
    </row>
    <row r="281" spans="2:19" ht="9" customHeight="1" outlineLevel="3">
      <c r="B281" s="36"/>
      <c r="C281" s="112"/>
      <c r="E281" s="61"/>
      <c r="F281" s="227"/>
      <c r="G281" s="247"/>
      <c r="H281" s="118"/>
      <c r="I281" s="118"/>
      <c r="J281" s="118"/>
      <c r="K281" s="118"/>
      <c r="L281" s="339"/>
      <c r="M281" s="118"/>
      <c r="N281" s="118"/>
      <c r="O281" s="118"/>
      <c r="P281" s="219"/>
      <c r="Q281" s="219"/>
      <c r="R281" s="219"/>
    </row>
    <row r="282" spans="2:19" outlineLevel="3">
      <c r="B282" s="36"/>
      <c r="C282" s="112">
        <v>511300</v>
      </c>
      <c r="D282" s="27" t="s">
        <v>423</v>
      </c>
      <c r="E282" s="61"/>
      <c r="F282" s="226"/>
      <c r="G282" s="245"/>
      <c r="H282" s="179"/>
      <c r="I282" s="179"/>
      <c r="J282" s="179"/>
      <c r="K282" s="118"/>
      <c r="L282" s="416">
        <f t="shared" ref="L282:R282" si="244">L286</f>
        <v>55500</v>
      </c>
      <c r="M282" s="118">
        <f t="shared" si="244"/>
        <v>54493.25</v>
      </c>
      <c r="N282" s="118">
        <f t="shared" si="244"/>
        <v>0</v>
      </c>
      <c r="O282" s="118">
        <f t="shared" si="244"/>
        <v>54493.25</v>
      </c>
      <c r="P282" s="332">
        <f t="shared" si="244"/>
        <v>59500</v>
      </c>
      <c r="Q282" s="332">
        <f t="shared" si="244"/>
        <v>59500</v>
      </c>
      <c r="R282" s="332">
        <f t="shared" si="244"/>
        <v>59500</v>
      </c>
    </row>
    <row r="283" spans="2:19" outlineLevel="4">
      <c r="B283" s="36"/>
      <c r="C283" s="90">
        <v>511301</v>
      </c>
      <c r="D283" s="11" t="s">
        <v>131</v>
      </c>
      <c r="E283" s="61"/>
      <c r="F283" s="226"/>
      <c r="G283" s="245"/>
      <c r="H283" s="179"/>
      <c r="I283" s="179"/>
      <c r="J283" s="338"/>
      <c r="K283" s="338" t="s">
        <v>460</v>
      </c>
      <c r="L283" s="432">
        <v>50000</v>
      </c>
      <c r="M283" s="412">
        <v>50000</v>
      </c>
      <c r="N283" s="412">
        <v>0</v>
      </c>
      <c r="O283" s="412">
        <f>M283+N283</f>
        <v>50000</v>
      </c>
      <c r="P283" s="321">
        <v>50000</v>
      </c>
      <c r="Q283" s="321">
        <v>50000</v>
      </c>
      <c r="R283" s="321">
        <v>50000</v>
      </c>
    </row>
    <row r="284" spans="2:19" outlineLevel="4">
      <c r="B284" s="36"/>
      <c r="C284" s="90">
        <v>511302</v>
      </c>
      <c r="D284" s="11" t="s">
        <v>461</v>
      </c>
      <c r="E284" s="61" t="s">
        <v>591</v>
      </c>
      <c r="F284" s="226"/>
      <c r="G284" s="245"/>
      <c r="H284" s="179"/>
      <c r="I284" s="179"/>
      <c r="J284" s="179"/>
      <c r="K284" s="118"/>
      <c r="L284" s="339">
        <v>4000</v>
      </c>
      <c r="M284" s="118">
        <v>2993.25</v>
      </c>
      <c r="N284" s="118"/>
      <c r="O284" s="118">
        <f>M284+N284</f>
        <v>2993.25</v>
      </c>
      <c r="P284" s="446">
        <v>8000</v>
      </c>
      <c r="Q284" s="446">
        <v>8000</v>
      </c>
      <c r="R284" s="446">
        <v>8000</v>
      </c>
    </row>
    <row r="285" spans="2:19" outlineLevel="4">
      <c r="B285" s="36"/>
      <c r="C285" s="90">
        <v>511303</v>
      </c>
      <c r="D285" s="56" t="s">
        <v>426</v>
      </c>
      <c r="E285" s="61"/>
      <c r="F285" s="226"/>
      <c r="G285" s="245"/>
      <c r="H285" s="179"/>
      <c r="I285" s="179"/>
      <c r="J285" s="179"/>
      <c r="K285" s="325" t="s">
        <v>437</v>
      </c>
      <c r="L285" s="431">
        <v>1500</v>
      </c>
      <c r="M285" s="411">
        <v>1500</v>
      </c>
      <c r="N285" s="411">
        <v>0</v>
      </c>
      <c r="O285" s="411">
        <f>M285+N285</f>
        <v>1500</v>
      </c>
      <c r="P285" s="308">
        <v>1500</v>
      </c>
      <c r="Q285" s="308">
        <v>1500</v>
      </c>
      <c r="R285" s="308">
        <v>1500</v>
      </c>
    </row>
    <row r="286" spans="2:19" outlineLevel="4">
      <c r="B286" s="36"/>
      <c r="C286" s="112">
        <v>511309</v>
      </c>
      <c r="D286" s="10" t="s">
        <v>428</v>
      </c>
      <c r="E286" s="61"/>
      <c r="F286" s="226"/>
      <c r="G286" s="245"/>
      <c r="H286" s="179"/>
      <c r="I286" s="179"/>
      <c r="J286" s="179"/>
      <c r="K286" s="118"/>
      <c r="L286" s="419">
        <f>SUM(L283:L285)</f>
        <v>55500</v>
      </c>
      <c r="M286" s="179">
        <f>SUM(M283:M285)</f>
        <v>54493.25</v>
      </c>
      <c r="N286" s="179">
        <f>SUM(N283:N285)</f>
        <v>0</v>
      </c>
      <c r="O286" s="179">
        <f>M286+N286</f>
        <v>54493.25</v>
      </c>
      <c r="P286" s="220">
        <f>SUM(P283:P285)</f>
        <v>59500</v>
      </c>
      <c r="Q286" s="220">
        <f>SUM(Q283:Q285)</f>
        <v>59500</v>
      </c>
      <c r="R286" s="220">
        <f>SUM(R283:R285)</f>
        <v>59500</v>
      </c>
    </row>
    <row r="287" spans="2:19" ht="9" customHeight="1" outlineLevel="3">
      <c r="B287" s="36"/>
      <c r="C287" s="112"/>
      <c r="E287" s="61"/>
      <c r="F287" s="227"/>
      <c r="G287" s="247"/>
      <c r="H287" s="118"/>
      <c r="I287" s="118"/>
      <c r="J287" s="118"/>
      <c r="K287" s="118"/>
      <c r="L287" s="339"/>
      <c r="M287" s="118"/>
      <c r="N287" s="118"/>
      <c r="O287" s="118"/>
      <c r="P287" s="219"/>
      <c r="Q287" s="219"/>
      <c r="R287" s="219"/>
    </row>
    <row r="288" spans="2:19" outlineLevel="3">
      <c r="B288" s="36"/>
      <c r="C288" s="112">
        <v>511400</v>
      </c>
      <c r="D288" s="27" t="s">
        <v>424</v>
      </c>
      <c r="E288" s="61"/>
      <c r="F288" s="226"/>
      <c r="G288" s="245"/>
      <c r="H288" s="179"/>
      <c r="I288" s="179"/>
      <c r="J288" s="179"/>
      <c r="K288" s="118"/>
      <c r="L288" s="416">
        <f t="shared" ref="L288:R288" si="245">L293</f>
        <v>76000</v>
      </c>
      <c r="M288" s="118">
        <f t="shared" si="245"/>
        <v>56372.859999999993</v>
      </c>
      <c r="N288" s="118">
        <f t="shared" si="245"/>
        <v>0</v>
      </c>
      <c r="O288" s="118">
        <f t="shared" si="245"/>
        <v>56372.859999999993</v>
      </c>
      <c r="P288" s="332">
        <f t="shared" si="245"/>
        <v>76000</v>
      </c>
      <c r="Q288" s="332">
        <f t="shared" si="245"/>
        <v>76000</v>
      </c>
      <c r="R288" s="332">
        <f t="shared" si="245"/>
        <v>76000</v>
      </c>
    </row>
    <row r="289" spans="1:19" outlineLevel="4">
      <c r="B289" s="36"/>
      <c r="C289" s="90">
        <v>511401</v>
      </c>
      <c r="D289" s="56" t="s">
        <v>131</v>
      </c>
      <c r="E289" s="61"/>
      <c r="F289" s="226"/>
      <c r="G289" s="245"/>
      <c r="H289" s="179"/>
      <c r="I289" s="179"/>
      <c r="J289" s="338" t="s">
        <v>456</v>
      </c>
      <c r="K289" s="118"/>
      <c r="L289" s="430">
        <v>30000</v>
      </c>
      <c r="M289" s="324">
        <v>29755.68</v>
      </c>
      <c r="N289" s="324">
        <v>0</v>
      </c>
      <c r="O289" s="324">
        <f>M289+N289</f>
        <v>29755.68</v>
      </c>
      <c r="P289" s="322">
        <v>30000</v>
      </c>
      <c r="Q289" s="322">
        <v>30000</v>
      </c>
      <c r="R289" s="322">
        <v>30000</v>
      </c>
    </row>
    <row r="290" spans="1:19" outlineLevel="4">
      <c r="B290" s="36"/>
      <c r="C290" s="90">
        <v>511402</v>
      </c>
      <c r="D290" s="11" t="s">
        <v>436</v>
      </c>
      <c r="E290" s="61"/>
      <c r="F290" s="226"/>
      <c r="G290" s="245"/>
      <c r="H290" s="179"/>
      <c r="I290" s="179"/>
      <c r="J290" s="179"/>
      <c r="K290" s="118"/>
      <c r="L290" s="339">
        <v>38000</v>
      </c>
      <c r="M290" s="118">
        <v>21617.439999999999</v>
      </c>
      <c r="N290" s="118">
        <v>0</v>
      </c>
      <c r="O290" s="118">
        <f>M290+N290</f>
        <v>21617.439999999999</v>
      </c>
      <c r="P290" s="219">
        <v>38000</v>
      </c>
      <c r="Q290" s="219">
        <v>38000</v>
      </c>
      <c r="R290" s="219">
        <v>38000</v>
      </c>
      <c r="S290" s="44"/>
    </row>
    <row r="291" spans="1:19" outlineLevel="4">
      <c r="B291" s="36"/>
      <c r="C291" s="90">
        <v>511403</v>
      </c>
      <c r="D291" s="11" t="s">
        <v>425</v>
      </c>
      <c r="E291" s="61"/>
      <c r="F291" s="226"/>
      <c r="G291" s="245"/>
      <c r="H291" s="179"/>
      <c r="I291" s="179"/>
      <c r="J291" s="179"/>
      <c r="K291" s="118"/>
      <c r="L291" s="339">
        <v>7000</v>
      </c>
      <c r="M291" s="118">
        <v>3898.74</v>
      </c>
      <c r="N291" s="118"/>
      <c r="O291" s="118">
        <f>M291+N291</f>
        <v>3898.74</v>
      </c>
      <c r="P291" s="219">
        <v>7000</v>
      </c>
      <c r="Q291" s="219">
        <v>7000</v>
      </c>
      <c r="R291" s="219">
        <v>7000</v>
      </c>
    </row>
    <row r="292" spans="1:19" outlineLevel="4">
      <c r="B292" s="36"/>
      <c r="C292" s="90">
        <v>511404</v>
      </c>
      <c r="D292" s="56" t="s">
        <v>426</v>
      </c>
      <c r="E292" s="61"/>
      <c r="F292" s="226"/>
      <c r="G292" s="245"/>
      <c r="H292" s="179"/>
      <c r="I292" s="179"/>
      <c r="J292" s="179"/>
      <c r="K292" s="325" t="s">
        <v>437</v>
      </c>
      <c r="L292" s="433">
        <v>1000</v>
      </c>
      <c r="M292" s="385">
        <v>1101</v>
      </c>
      <c r="N292" s="385">
        <v>0</v>
      </c>
      <c r="O292" s="385">
        <f>M292+N292</f>
        <v>1101</v>
      </c>
      <c r="P292" s="384">
        <v>1000</v>
      </c>
      <c r="Q292" s="384">
        <v>1000</v>
      </c>
      <c r="R292" s="384">
        <v>1000</v>
      </c>
    </row>
    <row r="293" spans="1:19" outlineLevel="4">
      <c r="B293" s="36"/>
      <c r="C293" s="112">
        <v>511409</v>
      </c>
      <c r="D293" s="55" t="s">
        <v>430</v>
      </c>
      <c r="E293" s="61"/>
      <c r="F293" s="226"/>
      <c r="G293" s="245"/>
      <c r="H293" s="179"/>
      <c r="I293" s="179"/>
      <c r="J293" s="179"/>
      <c r="K293" s="118"/>
      <c r="L293" s="419">
        <f>SUM(L289:L292)</f>
        <v>76000</v>
      </c>
      <c r="M293" s="179">
        <f>SUM(M289:M292)</f>
        <v>56372.859999999993</v>
      </c>
      <c r="N293" s="179">
        <f>SUM(N289:N292)</f>
        <v>0</v>
      </c>
      <c r="O293" s="179">
        <f>M293+N293</f>
        <v>56372.859999999993</v>
      </c>
      <c r="P293" s="220">
        <f>SUM(P289:P292)</f>
        <v>76000</v>
      </c>
      <c r="Q293" s="220">
        <f>SUM(Q289:Q292)</f>
        <v>76000</v>
      </c>
      <c r="R293" s="220">
        <f>SUM(R289:R292)</f>
        <v>76000</v>
      </c>
    </row>
    <row r="294" spans="1:19" ht="9" customHeight="1" outlineLevel="3">
      <c r="B294" s="36"/>
      <c r="C294" s="112"/>
      <c r="D294" s="56"/>
      <c r="E294" s="61"/>
      <c r="F294" s="226"/>
      <c r="G294" s="245"/>
      <c r="H294" s="179"/>
      <c r="I294" s="179"/>
      <c r="J294" s="179"/>
      <c r="K294" s="118"/>
      <c r="L294" s="419"/>
      <c r="M294" s="179"/>
      <c r="N294" s="179"/>
      <c r="O294" s="179"/>
      <c r="P294" s="220"/>
      <c r="Q294" s="220"/>
      <c r="R294" s="220"/>
    </row>
    <row r="295" spans="1:19" outlineLevel="3">
      <c r="B295" s="36"/>
      <c r="C295" s="112">
        <v>511500</v>
      </c>
      <c r="D295" s="320" t="s">
        <v>427</v>
      </c>
      <c r="E295" s="61"/>
      <c r="F295" s="226"/>
      <c r="G295" s="245"/>
      <c r="H295" s="179"/>
      <c r="I295" s="179"/>
      <c r="J295" s="179"/>
      <c r="K295" s="118"/>
      <c r="L295" s="416">
        <f t="shared" ref="L295:R295" si="246">L298</f>
        <v>30500</v>
      </c>
      <c r="M295" s="118">
        <f t="shared" si="246"/>
        <v>14500</v>
      </c>
      <c r="N295" s="118">
        <f t="shared" si="246"/>
        <v>0</v>
      </c>
      <c r="O295" s="118">
        <f t="shared" si="246"/>
        <v>14500</v>
      </c>
      <c r="P295" s="332">
        <f t="shared" si="246"/>
        <v>30500</v>
      </c>
      <c r="Q295" s="332">
        <f t="shared" si="246"/>
        <v>30500</v>
      </c>
      <c r="R295" s="332">
        <f t="shared" si="246"/>
        <v>30500</v>
      </c>
    </row>
    <row r="296" spans="1:19" outlineLevel="4">
      <c r="B296" s="36"/>
      <c r="C296" s="90">
        <v>511501</v>
      </c>
      <c r="D296" s="56" t="s">
        <v>445</v>
      </c>
      <c r="E296" s="61"/>
      <c r="F296" s="226"/>
      <c r="G296" s="245"/>
      <c r="H296" s="179"/>
      <c r="I296" s="179"/>
      <c r="J296" s="179"/>
      <c r="K296" s="118"/>
      <c r="L296" s="339">
        <v>30000</v>
      </c>
      <c r="M296" s="118">
        <v>14000</v>
      </c>
      <c r="N296" s="118"/>
      <c r="O296" s="118">
        <f>M296+N296</f>
        <v>14000</v>
      </c>
      <c r="P296" s="219">
        <v>30000</v>
      </c>
      <c r="Q296" s="219">
        <v>30000</v>
      </c>
      <c r="R296" s="219">
        <v>30000</v>
      </c>
    </row>
    <row r="297" spans="1:19" outlineLevel="4">
      <c r="B297" s="36"/>
      <c r="C297" s="90">
        <v>511502</v>
      </c>
      <c r="D297" s="56" t="s">
        <v>426</v>
      </c>
      <c r="E297" s="61"/>
      <c r="F297" s="226"/>
      <c r="G297" s="245"/>
      <c r="H297" s="179"/>
      <c r="I297" s="179"/>
      <c r="J297" s="179"/>
      <c r="K297" s="325" t="s">
        <v>437</v>
      </c>
      <c r="L297" s="420">
        <v>500</v>
      </c>
      <c r="M297" s="178">
        <v>500</v>
      </c>
      <c r="N297" s="178">
        <v>0</v>
      </c>
      <c r="O297" s="178">
        <f>M297+N297</f>
        <v>500</v>
      </c>
      <c r="P297" s="296">
        <v>500</v>
      </c>
      <c r="Q297" s="296">
        <v>500</v>
      </c>
      <c r="R297" s="296">
        <v>500</v>
      </c>
    </row>
    <row r="298" spans="1:19" outlineLevel="4">
      <c r="B298" s="36"/>
      <c r="C298" s="112">
        <v>511509</v>
      </c>
      <c r="D298" s="55" t="s">
        <v>433</v>
      </c>
      <c r="E298" s="61"/>
      <c r="F298" s="226"/>
      <c r="G298" s="245"/>
      <c r="H298" s="179"/>
      <c r="I298" s="179"/>
      <c r="J298" s="179"/>
      <c r="K298" s="118"/>
      <c r="L298" s="419">
        <f>SUM(L296:L297)</f>
        <v>30500</v>
      </c>
      <c r="M298" s="179">
        <f>SUM(M296:M297)</f>
        <v>14500</v>
      </c>
      <c r="N298" s="179">
        <f>SUM(N296:N297)</f>
        <v>0</v>
      </c>
      <c r="O298" s="179">
        <f>M298+N298</f>
        <v>14500</v>
      </c>
      <c r="P298" s="220">
        <f>SUM(P296:P297)</f>
        <v>30500</v>
      </c>
      <c r="Q298" s="220">
        <f>SUM(Q296:Q297)</f>
        <v>30500</v>
      </c>
      <c r="R298" s="220">
        <f>SUM(R296:R297)</f>
        <v>30500</v>
      </c>
    </row>
    <row r="299" spans="1:19" ht="9" customHeight="1" outlineLevel="3">
      <c r="B299" s="36"/>
      <c r="C299" s="112"/>
      <c r="E299" s="61"/>
      <c r="F299" s="226"/>
      <c r="G299" s="251"/>
      <c r="H299" s="73"/>
      <c r="I299" s="118"/>
      <c r="J299" s="118"/>
      <c r="K299" s="118"/>
      <c r="L299" s="339"/>
      <c r="M299" s="118"/>
      <c r="N299" s="118"/>
      <c r="O299" s="118"/>
      <c r="P299" s="219"/>
      <c r="Q299" s="219"/>
      <c r="R299" s="219"/>
    </row>
    <row r="300" spans="1:19" outlineLevel="3">
      <c r="A300" s="26" t="s">
        <v>2</v>
      </c>
      <c r="B300" s="33"/>
      <c r="C300" s="112">
        <v>519999</v>
      </c>
      <c r="D300" s="27" t="s">
        <v>443</v>
      </c>
      <c r="F300" s="226">
        <f>F256+F261</f>
        <v>654800</v>
      </c>
      <c r="G300" s="245">
        <f>G256+G261</f>
        <v>637480</v>
      </c>
      <c r="H300" s="179">
        <f>H256+H261</f>
        <v>675700</v>
      </c>
      <c r="I300" s="179">
        <f>I256+I261</f>
        <v>659931</v>
      </c>
      <c r="J300" s="179">
        <f>J256+J261</f>
        <v>0</v>
      </c>
      <c r="K300" s="118">
        <f>I300+J300</f>
        <v>659931</v>
      </c>
      <c r="L300" s="419">
        <f>L256+L261+L273+L280+L286+L293+L298</f>
        <v>983750</v>
      </c>
      <c r="M300" s="179">
        <f>M256+M261+M273+M280+M286+M293+M298</f>
        <v>997139.65999999992</v>
      </c>
      <c r="N300" s="179">
        <f>N256+N261+N273+N280+N286+N293+N298</f>
        <v>0</v>
      </c>
      <c r="O300" s="179">
        <f>M300+N300</f>
        <v>997139.65999999992</v>
      </c>
      <c r="P300" s="220">
        <f>P256+P261+P273+P280+P286+P293+P298</f>
        <v>921350</v>
      </c>
      <c r="Q300" s="220">
        <f>Q256+Q261+Q273+Q280+Q286+Q293+Q298</f>
        <v>916100</v>
      </c>
      <c r="R300" s="220">
        <f>R256+R261+R273+R280+R286+R293+R298</f>
        <v>913100</v>
      </c>
    </row>
    <row r="301" spans="1:19" ht="5.0999999999999996" customHeight="1" outlineLevel="1">
      <c r="B301" s="33"/>
      <c r="F301" s="227"/>
      <c r="G301" s="246"/>
      <c r="H301" s="118"/>
      <c r="I301" s="118"/>
      <c r="J301" s="118"/>
      <c r="K301" s="118"/>
      <c r="L301" s="339"/>
      <c r="M301" s="118"/>
      <c r="N301" s="118"/>
      <c r="O301" s="118"/>
      <c r="P301" s="219"/>
      <c r="Q301" s="219"/>
      <c r="R301" s="219"/>
    </row>
    <row r="302" spans="1:19" outlineLevel="1">
      <c r="A302" s="26" t="s">
        <v>0</v>
      </c>
      <c r="B302" s="34"/>
      <c r="C302" s="112">
        <v>520000</v>
      </c>
      <c r="D302" s="327" t="s">
        <v>407</v>
      </c>
      <c r="E302" s="351"/>
      <c r="F302" s="227">
        <f t="shared" ref="F302" si="247">F353</f>
        <v>608138.66666666663</v>
      </c>
      <c r="G302" s="247">
        <f t="shared" ref="G302" si="248">G353</f>
        <v>542515</v>
      </c>
      <c r="H302" s="118">
        <f t="shared" ref="H302:J302" si="249">H353</f>
        <v>604727</v>
      </c>
      <c r="I302" s="118">
        <f t="shared" si="249"/>
        <v>524678</v>
      </c>
      <c r="J302" s="118">
        <f t="shared" si="249"/>
        <v>0</v>
      </c>
      <c r="K302" s="118">
        <f>I302+J302</f>
        <v>524678</v>
      </c>
      <c r="L302" s="339">
        <f>L353</f>
        <v>1016969</v>
      </c>
      <c r="M302" s="118">
        <f t="shared" ref="M302:N302" si="250">M353</f>
        <v>981266.8</v>
      </c>
      <c r="N302" s="118">
        <f t="shared" si="250"/>
        <v>0</v>
      </c>
      <c r="O302" s="118">
        <f>M302+N302</f>
        <v>981266.8</v>
      </c>
      <c r="P302" s="219">
        <f>P353</f>
        <v>965969</v>
      </c>
      <c r="Q302" s="219">
        <f>Q353</f>
        <v>965969</v>
      </c>
      <c r="R302" s="219">
        <f>R353</f>
        <v>965969</v>
      </c>
    </row>
    <row r="303" spans="1:19" ht="9" customHeight="1" outlineLevel="2">
      <c r="B303" s="34"/>
      <c r="C303" s="112"/>
      <c r="D303" s="10"/>
      <c r="E303" s="44"/>
      <c r="F303" s="227"/>
      <c r="G303" s="247"/>
      <c r="H303" s="118"/>
      <c r="I303" s="118"/>
      <c r="J303" s="118"/>
      <c r="K303" s="118"/>
      <c r="L303" s="339"/>
      <c r="M303" s="118"/>
      <c r="N303" s="118"/>
      <c r="O303" s="118"/>
      <c r="P303" s="219"/>
      <c r="Q303" s="219"/>
      <c r="R303" s="219"/>
    </row>
    <row r="304" spans="1:19" outlineLevel="2" collapsed="1">
      <c r="B304" s="34"/>
      <c r="C304" s="336"/>
      <c r="D304" s="340" t="s">
        <v>439</v>
      </c>
      <c r="E304" s="344"/>
      <c r="F304" s="219"/>
      <c r="G304" s="247"/>
      <c r="H304" s="118">
        <f>H346</f>
        <v>604727</v>
      </c>
      <c r="I304" s="118">
        <f t="shared" ref="I304:K304" si="251">I346</f>
        <v>524678</v>
      </c>
      <c r="J304" s="118">
        <f t="shared" si="251"/>
        <v>0</v>
      </c>
      <c r="K304" s="118">
        <f t="shared" si="251"/>
        <v>524678</v>
      </c>
      <c r="L304" s="341">
        <f t="shared" ref="L304:R304" si="252">L346</f>
        <v>626969</v>
      </c>
      <c r="M304" s="73">
        <f t="shared" si="252"/>
        <v>598842.33000000007</v>
      </c>
      <c r="N304" s="73">
        <f t="shared" si="252"/>
        <v>0</v>
      </c>
      <c r="O304" s="73">
        <f t="shared" si="252"/>
        <v>598842.33000000007</v>
      </c>
      <c r="P304" s="298">
        <f t="shared" si="252"/>
        <v>575969</v>
      </c>
      <c r="Q304" s="298">
        <f t="shared" si="252"/>
        <v>575969</v>
      </c>
      <c r="R304" s="298">
        <f t="shared" si="252"/>
        <v>575969</v>
      </c>
    </row>
    <row r="305" spans="1:19" hidden="1" outlineLevel="3" collapsed="1">
      <c r="A305" s="26" t="s">
        <v>0</v>
      </c>
      <c r="B305" s="34"/>
      <c r="C305" s="470">
        <v>520100</v>
      </c>
      <c r="D305" s="55" t="s">
        <v>494</v>
      </c>
      <c r="E305" s="344"/>
      <c r="F305" s="219"/>
      <c r="G305" s="247"/>
      <c r="H305" s="118">
        <f>H314</f>
        <v>360000</v>
      </c>
      <c r="I305" s="118">
        <f t="shared" ref="I305:K305" si="253">I314</f>
        <v>359225</v>
      </c>
      <c r="J305" s="118">
        <f t="shared" si="253"/>
        <v>0</v>
      </c>
      <c r="K305" s="118">
        <f t="shared" si="253"/>
        <v>359225</v>
      </c>
      <c r="L305" s="416">
        <f t="shared" ref="L305:R305" si="254">L314</f>
        <v>305000</v>
      </c>
      <c r="M305" s="358">
        <f t="shared" si="254"/>
        <v>271945.81</v>
      </c>
      <c r="N305" s="358">
        <f t="shared" si="254"/>
        <v>0</v>
      </c>
      <c r="O305" s="358">
        <f t="shared" si="254"/>
        <v>271945.81</v>
      </c>
      <c r="P305" s="332">
        <f t="shared" si="254"/>
        <v>280000</v>
      </c>
      <c r="Q305" s="332">
        <f t="shared" si="254"/>
        <v>280000</v>
      </c>
      <c r="R305" s="332">
        <f t="shared" si="254"/>
        <v>280000</v>
      </c>
    </row>
    <row r="306" spans="1:19" hidden="1" outlineLevel="4">
      <c r="A306" s="26" t="s">
        <v>136</v>
      </c>
      <c r="B306" s="36">
        <v>51101</v>
      </c>
      <c r="C306" s="382">
        <v>520101</v>
      </c>
      <c r="D306" s="383" t="s">
        <v>91</v>
      </c>
      <c r="E306" s="42"/>
      <c r="F306" s="227">
        <v>0</v>
      </c>
      <c r="G306" s="247"/>
      <c r="H306" s="118">
        <v>0</v>
      </c>
      <c r="I306" s="118">
        <v>0</v>
      </c>
      <c r="J306" s="118"/>
      <c r="K306" s="118">
        <f t="shared" ref="K306:K314" si="255">I306+J306</f>
        <v>0</v>
      </c>
      <c r="L306" s="339"/>
      <c r="M306" s="118"/>
      <c r="N306" s="118"/>
      <c r="O306" s="118"/>
      <c r="P306" s="219"/>
      <c r="Q306" s="219"/>
      <c r="R306" s="219"/>
    </row>
    <row r="307" spans="1:19" hidden="1" outlineLevel="4">
      <c r="A307" s="26" t="s">
        <v>136</v>
      </c>
      <c r="B307" s="36">
        <v>51102</v>
      </c>
      <c r="C307" s="382">
        <v>520102</v>
      </c>
      <c r="D307" s="383" t="s">
        <v>92</v>
      </c>
      <c r="E307" s="42"/>
      <c r="F307" s="228">
        <v>0</v>
      </c>
      <c r="G307" s="247"/>
      <c r="H307" s="73">
        <v>0</v>
      </c>
      <c r="I307" s="118">
        <v>0</v>
      </c>
      <c r="J307" s="118"/>
      <c r="K307" s="118">
        <f t="shared" si="255"/>
        <v>0</v>
      </c>
      <c r="L307" s="339"/>
      <c r="M307" s="118"/>
      <c r="N307" s="118"/>
      <c r="O307" s="118"/>
      <c r="P307" s="219"/>
      <c r="Q307" s="219"/>
      <c r="R307" s="219"/>
    </row>
    <row r="308" spans="1:19" hidden="1" outlineLevel="4">
      <c r="A308" s="26" t="s">
        <v>136</v>
      </c>
      <c r="B308" s="36">
        <v>51103</v>
      </c>
      <c r="C308" s="382">
        <v>520103</v>
      </c>
      <c r="D308" s="383" t="s">
        <v>290</v>
      </c>
      <c r="E308" s="42"/>
      <c r="F308" s="228">
        <v>0</v>
      </c>
      <c r="G308" s="247"/>
      <c r="H308" s="73">
        <v>0</v>
      </c>
      <c r="I308" s="118">
        <v>0</v>
      </c>
      <c r="J308" s="118"/>
      <c r="K308" s="118">
        <f t="shared" si="255"/>
        <v>0</v>
      </c>
      <c r="L308" s="339"/>
      <c r="M308" s="118"/>
      <c r="N308" s="118"/>
      <c r="O308" s="118"/>
      <c r="P308" s="219"/>
      <c r="Q308" s="219"/>
      <c r="R308" s="219"/>
    </row>
    <row r="309" spans="1:19" hidden="1" outlineLevel="4">
      <c r="A309" s="26" t="s">
        <v>136</v>
      </c>
      <c r="B309" s="36">
        <v>51105</v>
      </c>
      <c r="C309" s="382">
        <v>520104</v>
      </c>
      <c r="D309" s="383" t="s">
        <v>289</v>
      </c>
      <c r="E309" s="42"/>
      <c r="F309" s="228">
        <v>0</v>
      </c>
      <c r="G309" s="247"/>
      <c r="H309" s="73">
        <v>0</v>
      </c>
      <c r="I309" s="118">
        <v>0</v>
      </c>
      <c r="J309" s="118"/>
      <c r="K309" s="118">
        <f t="shared" si="255"/>
        <v>0</v>
      </c>
      <c r="L309" s="339"/>
      <c r="M309" s="118"/>
      <c r="N309" s="118"/>
      <c r="O309" s="118"/>
      <c r="P309" s="219"/>
      <c r="Q309" s="219"/>
      <c r="R309" s="219"/>
    </row>
    <row r="310" spans="1:19" hidden="1" outlineLevel="4">
      <c r="A310" s="26" t="s">
        <v>136</v>
      </c>
      <c r="B310" s="36">
        <v>51108</v>
      </c>
      <c r="C310" s="382">
        <v>520105</v>
      </c>
      <c r="D310" s="383" t="s">
        <v>291</v>
      </c>
      <c r="E310" s="42"/>
      <c r="F310" s="228">
        <v>0</v>
      </c>
      <c r="G310" s="247"/>
      <c r="H310" s="73">
        <v>0</v>
      </c>
      <c r="I310" s="118">
        <v>0</v>
      </c>
      <c r="J310" s="118"/>
      <c r="K310" s="118">
        <f t="shared" si="255"/>
        <v>0</v>
      </c>
      <c r="L310" s="339"/>
      <c r="M310" s="118"/>
      <c r="N310" s="118"/>
      <c r="O310" s="118"/>
      <c r="P310" s="219"/>
      <c r="Q310" s="219"/>
      <c r="R310" s="219"/>
    </row>
    <row r="311" spans="1:19" hidden="1" outlineLevel="4">
      <c r="A311" s="26" t="s">
        <v>136</v>
      </c>
      <c r="B311" s="36">
        <v>51113</v>
      </c>
      <c r="C311" s="382">
        <v>520106</v>
      </c>
      <c r="D311" s="383" t="s">
        <v>93</v>
      </c>
      <c r="E311" s="42"/>
      <c r="F311" s="228">
        <v>0</v>
      </c>
      <c r="G311" s="247"/>
      <c r="H311" s="73">
        <v>0</v>
      </c>
      <c r="I311" s="118">
        <v>0</v>
      </c>
      <c r="J311" s="118"/>
      <c r="K311" s="118">
        <f t="shared" si="255"/>
        <v>0</v>
      </c>
      <c r="L311" s="339"/>
      <c r="M311" s="118"/>
      <c r="N311" s="118"/>
      <c r="O311" s="118"/>
      <c r="P311" s="219"/>
      <c r="Q311" s="219"/>
      <c r="R311" s="219"/>
    </row>
    <row r="312" spans="1:19" hidden="1" outlineLevel="4">
      <c r="B312" s="36"/>
      <c r="C312" s="90">
        <v>520117</v>
      </c>
      <c r="D312" s="130" t="s">
        <v>506</v>
      </c>
      <c r="E312" s="26" t="s">
        <v>507</v>
      </c>
      <c r="F312" s="228"/>
      <c r="G312" s="313"/>
      <c r="H312" s="73">
        <v>0</v>
      </c>
      <c r="I312" s="118">
        <v>0</v>
      </c>
      <c r="J312" s="118"/>
      <c r="K312" s="118"/>
      <c r="L312" s="339">
        <f>100000+25000</f>
        <v>125000</v>
      </c>
      <c r="M312" s="118">
        <v>82430.539999999994</v>
      </c>
      <c r="N312" s="118"/>
      <c r="O312" s="118">
        <f>M312+N312</f>
        <v>82430.539999999994</v>
      </c>
      <c r="P312" s="219">
        <v>100000</v>
      </c>
      <c r="Q312" s="219">
        <v>100000</v>
      </c>
      <c r="R312" s="219">
        <v>100000</v>
      </c>
    </row>
    <row r="313" spans="1:19" hidden="1" outlineLevel="4">
      <c r="A313" s="26" t="s">
        <v>136</v>
      </c>
      <c r="B313" s="36"/>
      <c r="C313" s="110">
        <v>520119</v>
      </c>
      <c r="D313" s="130" t="s">
        <v>505</v>
      </c>
      <c r="E313" s="378"/>
      <c r="F313" s="228">
        <v>300000</v>
      </c>
      <c r="G313" s="313"/>
      <c r="H313" s="213">
        <v>0</v>
      </c>
      <c r="I313" s="178">
        <v>359225</v>
      </c>
      <c r="J313" s="213">
        <v>0</v>
      </c>
      <c r="K313" s="178">
        <f t="shared" si="255"/>
        <v>359225</v>
      </c>
      <c r="L313" s="420">
        <v>180000</v>
      </c>
      <c r="M313" s="413">
        <v>189515.27</v>
      </c>
      <c r="N313" s="178"/>
      <c r="O313" s="300">
        <f>M313+N313</f>
        <v>189515.27</v>
      </c>
      <c r="P313" s="296">
        <v>180000</v>
      </c>
      <c r="Q313" s="296">
        <v>180000</v>
      </c>
      <c r="R313" s="296">
        <v>180000</v>
      </c>
    </row>
    <row r="314" spans="1:19" hidden="1" outlineLevel="4">
      <c r="A314" s="26" t="s">
        <v>2</v>
      </c>
      <c r="B314" s="36">
        <v>51119</v>
      </c>
      <c r="C314" s="90">
        <v>520199</v>
      </c>
      <c r="D314" s="171" t="s">
        <v>135</v>
      </c>
      <c r="E314" s="42"/>
      <c r="F314" s="226">
        <f>SUM(F306:F313)</f>
        <v>300000</v>
      </c>
      <c r="G314" s="245">
        <v>300000</v>
      </c>
      <c r="H314" s="179">
        <v>360000</v>
      </c>
      <c r="I314" s="179">
        <f>SUM(I306:I313)</f>
        <v>359225</v>
      </c>
      <c r="J314" s="179">
        <f>SUM(J306:J313)</f>
        <v>0</v>
      </c>
      <c r="K314" s="118">
        <f t="shared" si="255"/>
        <v>359225</v>
      </c>
      <c r="L314" s="419">
        <f>SUM(L306:L313)</f>
        <v>305000</v>
      </c>
      <c r="M314" s="220">
        <f>SUM(M312:M313)</f>
        <v>271945.81</v>
      </c>
      <c r="N314" s="409">
        <f>SUM(N312:N313)</f>
        <v>0</v>
      </c>
      <c r="O314" s="251">
        <f>SUM(O312:O313)</f>
        <v>271945.81</v>
      </c>
      <c r="P314" s="220">
        <f>SUM(P306:P313)</f>
        <v>280000</v>
      </c>
      <c r="Q314" s="220">
        <f>SUM(Q306:Q313)</f>
        <v>280000</v>
      </c>
      <c r="R314" s="220">
        <f>SUM(R306:R313)</f>
        <v>280000</v>
      </c>
      <c r="S314" s="11"/>
    </row>
    <row r="315" spans="1:19" hidden="1" outlineLevel="3">
      <c r="B315" s="34"/>
      <c r="C315" s="114"/>
      <c r="D315" s="172"/>
      <c r="E315" s="42"/>
      <c r="F315" s="219"/>
      <c r="G315" s="245"/>
      <c r="H315" s="118"/>
      <c r="I315" s="118"/>
      <c r="J315" s="118"/>
      <c r="K315" s="118"/>
      <c r="L315" s="339"/>
      <c r="M315" s="118"/>
      <c r="N315" s="118"/>
      <c r="O315" s="118"/>
      <c r="P315" s="219"/>
      <c r="Q315" s="219"/>
      <c r="R315" s="219"/>
    </row>
    <row r="316" spans="1:19" hidden="1" outlineLevel="3" collapsed="1">
      <c r="A316" s="26" t="s">
        <v>0</v>
      </c>
      <c r="B316" s="36"/>
      <c r="C316" s="112">
        <v>520200</v>
      </c>
      <c r="D316" s="55" t="s">
        <v>503</v>
      </c>
      <c r="E316" s="436" t="s">
        <v>502</v>
      </c>
      <c r="F316" s="227">
        <v>15000</v>
      </c>
      <c r="G316" s="247"/>
      <c r="H316" s="118">
        <f>H320</f>
        <v>98827</v>
      </c>
      <c r="I316" s="118">
        <f t="shared" ref="I316:K316" si="256">I320</f>
        <v>74028</v>
      </c>
      <c r="J316" s="118">
        <f t="shared" si="256"/>
        <v>0</v>
      </c>
      <c r="K316" s="118">
        <f t="shared" si="256"/>
        <v>74028</v>
      </c>
      <c r="L316" s="416">
        <f t="shared" ref="L316:R316" si="257">L320</f>
        <v>26000</v>
      </c>
      <c r="M316" s="358">
        <f t="shared" si="257"/>
        <v>25032.23</v>
      </c>
      <c r="N316" s="358">
        <f t="shared" si="257"/>
        <v>0</v>
      </c>
      <c r="O316" s="358">
        <f t="shared" si="257"/>
        <v>25032.23</v>
      </c>
      <c r="P316" s="332">
        <f t="shared" si="257"/>
        <v>0</v>
      </c>
      <c r="Q316" s="332">
        <f t="shared" si="257"/>
        <v>0</v>
      </c>
      <c r="R316" s="332">
        <f t="shared" si="257"/>
        <v>0</v>
      </c>
      <c r="S316" s="310"/>
    </row>
    <row r="317" spans="1:19" hidden="1" outlineLevel="4">
      <c r="A317" s="26" t="s">
        <v>136</v>
      </c>
      <c r="B317" s="36">
        <v>51201</v>
      </c>
      <c r="C317" s="90">
        <v>520201</v>
      </c>
      <c r="D317" s="130" t="s">
        <v>499</v>
      </c>
      <c r="E317" s="462" t="s">
        <v>498</v>
      </c>
      <c r="F317" s="227">
        <v>27900</v>
      </c>
      <c r="G317" s="248">
        <v>30636</v>
      </c>
      <c r="H317" s="118">
        <v>0</v>
      </c>
      <c r="I317" s="118">
        <v>22424</v>
      </c>
      <c r="J317" s="73">
        <v>0</v>
      </c>
      <c r="K317" s="118">
        <f>I317+J317</f>
        <v>22424</v>
      </c>
      <c r="L317" s="341">
        <v>8000</v>
      </c>
      <c r="M317" s="73">
        <v>5947</v>
      </c>
      <c r="N317" s="73"/>
      <c r="O317" s="118">
        <f>M317+N317</f>
        <v>5947</v>
      </c>
      <c r="P317" s="467"/>
      <c r="Q317" s="298">
        <v>0</v>
      </c>
      <c r="R317" s="298">
        <v>0</v>
      </c>
    </row>
    <row r="318" spans="1:19" hidden="1" outlineLevel="4">
      <c r="A318" s="26" t="s">
        <v>136</v>
      </c>
      <c r="B318" s="36">
        <v>51202</v>
      </c>
      <c r="C318" s="90">
        <v>520202</v>
      </c>
      <c r="D318" s="130" t="s">
        <v>500</v>
      </c>
      <c r="E318" s="462" t="s">
        <v>589</v>
      </c>
      <c r="F318" s="227">
        <v>28000</v>
      </c>
      <c r="G318" s="248">
        <v>25564</v>
      </c>
      <c r="H318" s="118">
        <v>0</v>
      </c>
      <c r="I318" s="118">
        <v>25138</v>
      </c>
      <c r="J318" s="73">
        <v>0</v>
      </c>
      <c r="K318" s="118">
        <f>I318+J318</f>
        <v>25138</v>
      </c>
      <c r="L318" s="341">
        <v>8000</v>
      </c>
      <c r="M318" s="73">
        <v>10985.23</v>
      </c>
      <c r="N318" s="73"/>
      <c r="O318" s="118">
        <f>M318+N318</f>
        <v>10985.23</v>
      </c>
      <c r="P318" s="467"/>
      <c r="Q318" s="298">
        <v>0</v>
      </c>
      <c r="R318" s="298">
        <v>0</v>
      </c>
    </row>
    <row r="319" spans="1:19" ht="12.75" hidden="1" customHeight="1" outlineLevel="4">
      <c r="A319" s="26" t="s">
        <v>136</v>
      </c>
      <c r="B319" s="36"/>
      <c r="C319" s="110">
        <v>520203</v>
      </c>
      <c r="D319" s="130" t="s">
        <v>501</v>
      </c>
      <c r="E319" s="462" t="s">
        <v>590</v>
      </c>
      <c r="F319" s="302">
        <v>22032</v>
      </c>
      <c r="G319" s="376">
        <v>31553</v>
      </c>
      <c r="H319" s="178">
        <v>0</v>
      </c>
      <c r="I319" s="178">
        <v>26466</v>
      </c>
      <c r="J319" s="213">
        <v>0</v>
      </c>
      <c r="K319" s="178">
        <f>I319+J319</f>
        <v>26466</v>
      </c>
      <c r="L319" s="426">
        <v>10000</v>
      </c>
      <c r="M319" s="213">
        <v>8100</v>
      </c>
      <c r="N319" s="213"/>
      <c r="O319" s="300">
        <f>M319+N319</f>
        <v>8100</v>
      </c>
      <c r="P319" s="468"/>
      <c r="Q319" s="309">
        <v>0</v>
      </c>
      <c r="R319" s="309">
        <v>0</v>
      </c>
    </row>
    <row r="320" spans="1:19" hidden="1" outlineLevel="4">
      <c r="A320" s="26" t="s">
        <v>2</v>
      </c>
      <c r="B320" s="36"/>
      <c r="C320" s="112">
        <v>520299</v>
      </c>
      <c r="D320" s="171" t="s">
        <v>188</v>
      </c>
      <c r="E320" s="63"/>
      <c r="F320" s="226">
        <f>SUM(F316:F319)</f>
        <v>92932</v>
      </c>
      <c r="G320" s="245">
        <f>SUM(G317:G319)</f>
        <v>87753</v>
      </c>
      <c r="H320" s="179">
        <v>98827</v>
      </c>
      <c r="I320" s="179">
        <f>SUM(I317:I319)</f>
        <v>74028</v>
      </c>
      <c r="J320" s="179">
        <f>SUM(J317:J319)</f>
        <v>0</v>
      </c>
      <c r="K320" s="179">
        <f>I320+J320</f>
        <v>74028</v>
      </c>
      <c r="L320" s="419">
        <f>SUM(L317:L319)+L321</f>
        <v>26000</v>
      </c>
      <c r="M320" s="220">
        <f t="shared" ref="M320:R320" si="258">SUM(M317:M319)</f>
        <v>25032.23</v>
      </c>
      <c r="N320" s="409">
        <f t="shared" si="258"/>
        <v>0</v>
      </c>
      <c r="O320" s="251">
        <f t="shared" si="258"/>
        <v>25032.23</v>
      </c>
      <c r="P320" s="220">
        <f t="shared" si="258"/>
        <v>0</v>
      </c>
      <c r="Q320" s="220">
        <f t="shared" si="258"/>
        <v>0</v>
      </c>
      <c r="R320" s="220">
        <f t="shared" si="258"/>
        <v>0</v>
      </c>
    </row>
    <row r="321" spans="1:27" ht="12.75" hidden="1" customHeight="1" outlineLevel="3">
      <c r="B321" s="34"/>
      <c r="C321" s="114"/>
      <c r="D321" s="172"/>
      <c r="E321" s="42"/>
      <c r="F321" s="219"/>
      <c r="G321" s="247"/>
      <c r="H321" s="118"/>
      <c r="I321" s="118"/>
      <c r="J321" s="118"/>
      <c r="K321" s="118"/>
      <c r="L321" s="339"/>
      <c r="M321" s="118"/>
      <c r="N321" s="118"/>
      <c r="O321" s="118"/>
      <c r="P321" s="219"/>
      <c r="Q321" s="219"/>
      <c r="R321" s="219"/>
    </row>
    <row r="322" spans="1:27" ht="15" hidden="1" customHeight="1" outlineLevel="3" collapsed="1">
      <c r="A322" s="26" t="s">
        <v>0</v>
      </c>
      <c r="B322" s="36"/>
      <c r="C322" s="112">
        <v>520300</v>
      </c>
      <c r="D322" s="55" t="s">
        <v>293</v>
      </c>
      <c r="E322" s="344"/>
      <c r="F322" s="219"/>
      <c r="G322" s="247"/>
      <c r="H322" s="118">
        <f>H338</f>
        <v>145900</v>
      </c>
      <c r="I322" s="118">
        <f t="shared" ref="I322:K322" si="259">I338</f>
        <v>91425</v>
      </c>
      <c r="J322" s="118">
        <f t="shared" si="259"/>
        <v>0</v>
      </c>
      <c r="K322" s="118">
        <f t="shared" si="259"/>
        <v>91425</v>
      </c>
      <c r="L322" s="416">
        <f t="shared" ref="L322:R322" si="260">L338</f>
        <v>295969</v>
      </c>
      <c r="M322" s="358">
        <f t="shared" si="260"/>
        <v>301864.29000000004</v>
      </c>
      <c r="N322" s="358">
        <f t="shared" si="260"/>
        <v>0</v>
      </c>
      <c r="O322" s="358">
        <f t="shared" si="260"/>
        <v>301864.29000000004</v>
      </c>
      <c r="P322" s="332">
        <f t="shared" si="260"/>
        <v>295969</v>
      </c>
      <c r="Q322" s="469">
        <f t="shared" si="260"/>
        <v>295969</v>
      </c>
      <c r="R322" s="332">
        <f t="shared" si="260"/>
        <v>295969</v>
      </c>
    </row>
    <row r="323" spans="1:27" hidden="1" outlineLevel="4">
      <c r="A323" s="26" t="s">
        <v>136</v>
      </c>
      <c r="B323" s="36">
        <v>51301</v>
      </c>
      <c r="C323" s="382">
        <v>520301</v>
      </c>
      <c r="D323" s="383" t="s">
        <v>196</v>
      </c>
      <c r="E323" s="63"/>
      <c r="F323" s="227">
        <f>27900+(12650-54*150)+9000</f>
        <v>41450</v>
      </c>
      <c r="G323" s="248">
        <v>32925</v>
      </c>
      <c r="H323" s="118">
        <v>0</v>
      </c>
      <c r="I323" s="118"/>
      <c r="J323" s="118"/>
      <c r="K323" s="118">
        <f>I323+J323</f>
        <v>0</v>
      </c>
      <c r="L323" s="339">
        <f t="shared" ref="L323:R332" si="261">SUM(K323)</f>
        <v>0</v>
      </c>
      <c r="M323" s="118"/>
      <c r="N323" s="118"/>
      <c r="O323" s="118"/>
      <c r="P323" s="219">
        <f>SUM(L323)</f>
        <v>0</v>
      </c>
      <c r="Q323" s="219">
        <f t="shared" si="261"/>
        <v>0</v>
      </c>
      <c r="R323" s="219">
        <f t="shared" si="261"/>
        <v>0</v>
      </c>
    </row>
    <row r="324" spans="1:27" ht="15" hidden="1" customHeight="1" outlineLevel="4">
      <c r="A324" s="26" t="s">
        <v>136</v>
      </c>
      <c r="B324" s="36">
        <v>51302</v>
      </c>
      <c r="C324" s="382">
        <v>520302</v>
      </c>
      <c r="D324" s="383" t="s">
        <v>197</v>
      </c>
      <c r="E324" s="63"/>
      <c r="F324" s="227">
        <f>24000+(54*150)</f>
        <v>32100</v>
      </c>
      <c r="G324" s="248">
        <v>30458</v>
      </c>
      <c r="H324" s="118">
        <v>0</v>
      </c>
      <c r="I324" s="118"/>
      <c r="J324" s="118"/>
      <c r="K324" s="118">
        <f>I324+J324</f>
        <v>0</v>
      </c>
      <c r="L324" s="339">
        <f t="shared" si="261"/>
        <v>0</v>
      </c>
      <c r="M324" s="118"/>
      <c r="N324" s="118"/>
      <c r="O324" s="118"/>
      <c r="P324" s="219">
        <f>SUM(L324)</f>
        <v>0</v>
      </c>
      <c r="Q324" s="219">
        <f t="shared" si="261"/>
        <v>0</v>
      </c>
      <c r="R324" s="219">
        <f t="shared" si="261"/>
        <v>0</v>
      </c>
    </row>
    <row r="325" spans="1:27" hidden="1" outlineLevel="4">
      <c r="A325" s="26" t="s">
        <v>136</v>
      </c>
      <c r="B325" s="36">
        <v>51303</v>
      </c>
      <c r="C325" s="382">
        <v>520303</v>
      </c>
      <c r="D325" s="383" t="s">
        <v>286</v>
      </c>
      <c r="E325" s="118"/>
      <c r="F325" s="227">
        <v>9000</v>
      </c>
      <c r="G325" s="248">
        <v>7762</v>
      </c>
      <c r="H325" s="118">
        <v>0</v>
      </c>
      <c r="I325" s="118"/>
      <c r="J325" s="118"/>
      <c r="K325" s="118">
        <f>I325+J325</f>
        <v>0</v>
      </c>
      <c r="L325" s="339">
        <f t="shared" si="261"/>
        <v>0</v>
      </c>
      <c r="M325" s="118"/>
      <c r="N325" s="118"/>
      <c r="O325" s="118"/>
      <c r="P325" s="219">
        <f>SUM(L325)</f>
        <v>0</v>
      </c>
      <c r="Q325" s="219">
        <f t="shared" si="261"/>
        <v>0</v>
      </c>
      <c r="R325" s="219">
        <f t="shared" si="261"/>
        <v>0</v>
      </c>
    </row>
    <row r="326" spans="1:27" hidden="1" outlineLevel="4">
      <c r="A326" s="26" t="s">
        <v>136</v>
      </c>
      <c r="B326" s="36">
        <v>51304</v>
      </c>
      <c r="C326" s="382">
        <v>520304</v>
      </c>
      <c r="D326" s="383" t="s">
        <v>287</v>
      </c>
      <c r="E326" s="118"/>
      <c r="F326" s="227">
        <v>1800</v>
      </c>
      <c r="G326" s="247">
        <v>453</v>
      </c>
      <c r="H326" s="118">
        <v>0</v>
      </c>
      <c r="I326" s="118">
        <v>5364</v>
      </c>
      <c r="J326" s="118"/>
      <c r="K326" s="118">
        <f>I326+J326</f>
        <v>5364</v>
      </c>
      <c r="L326" s="339">
        <v>0</v>
      </c>
      <c r="M326" s="118"/>
      <c r="N326" s="118"/>
      <c r="O326" s="118"/>
      <c r="P326" s="219">
        <v>0</v>
      </c>
      <c r="Q326" s="219">
        <v>0</v>
      </c>
      <c r="R326" s="219">
        <v>0</v>
      </c>
    </row>
    <row r="327" spans="1:27" hidden="1" outlineLevel="4">
      <c r="A327" s="26" t="s">
        <v>136</v>
      </c>
      <c r="B327" s="36">
        <v>51305</v>
      </c>
      <c r="C327" s="382">
        <v>520305</v>
      </c>
      <c r="D327" s="383" t="s">
        <v>94</v>
      </c>
      <c r="E327" s="118"/>
      <c r="F327" s="227">
        <v>9000</v>
      </c>
      <c r="G327" s="247">
        <v>604</v>
      </c>
      <c r="H327" s="118">
        <v>0</v>
      </c>
      <c r="I327" s="118"/>
      <c r="J327" s="118"/>
      <c r="K327" s="118">
        <f>I327+J327</f>
        <v>0</v>
      </c>
      <c r="L327" s="339">
        <f t="shared" si="261"/>
        <v>0</v>
      </c>
      <c r="M327" s="118"/>
      <c r="N327" s="118"/>
      <c r="O327" s="118"/>
      <c r="P327" s="219">
        <f t="shared" ref="P327:P332" si="262">SUM(L327)</f>
        <v>0</v>
      </c>
      <c r="Q327" s="219">
        <f t="shared" si="261"/>
        <v>0</v>
      </c>
      <c r="R327" s="219">
        <f t="shared" si="261"/>
        <v>0</v>
      </c>
    </row>
    <row r="328" spans="1:27" hidden="1" outlineLevel="4">
      <c r="A328" s="26" t="s">
        <v>136</v>
      </c>
      <c r="B328" s="36">
        <v>51311</v>
      </c>
      <c r="C328" s="382">
        <v>520311</v>
      </c>
      <c r="D328" s="383" t="s">
        <v>97</v>
      </c>
      <c r="E328" s="303"/>
      <c r="F328" s="302">
        <v>0</v>
      </c>
      <c r="G328" s="247">
        <v>0</v>
      </c>
      <c r="H328" s="118">
        <v>0</v>
      </c>
      <c r="I328" s="118"/>
      <c r="J328" s="118"/>
      <c r="K328" s="118">
        <f t="shared" ref="K328:K338" si="263">I328+J328</f>
        <v>0</v>
      </c>
      <c r="L328" s="339">
        <f t="shared" si="261"/>
        <v>0</v>
      </c>
      <c r="M328" s="118"/>
      <c r="N328" s="118"/>
      <c r="O328" s="118"/>
      <c r="P328" s="219">
        <f t="shared" si="262"/>
        <v>0</v>
      </c>
      <c r="Q328" s="219">
        <f t="shared" si="261"/>
        <v>0</v>
      </c>
      <c r="R328" s="219">
        <f t="shared" si="261"/>
        <v>0</v>
      </c>
    </row>
    <row r="329" spans="1:27" hidden="1" outlineLevel="4">
      <c r="A329" s="26" t="s">
        <v>136</v>
      </c>
      <c r="B329" s="36">
        <v>51312</v>
      </c>
      <c r="C329" s="382">
        <v>520312</v>
      </c>
      <c r="D329" s="383" t="s">
        <v>95</v>
      </c>
      <c r="E329" s="303"/>
      <c r="F329" s="302">
        <v>0</v>
      </c>
      <c r="G329" s="247">
        <v>0</v>
      </c>
      <c r="H329" s="118">
        <v>0</v>
      </c>
      <c r="I329" s="118"/>
      <c r="J329" s="118"/>
      <c r="K329" s="118">
        <f t="shared" si="263"/>
        <v>0</v>
      </c>
      <c r="L329" s="339">
        <f t="shared" si="261"/>
        <v>0</v>
      </c>
      <c r="M329" s="118"/>
      <c r="N329" s="118"/>
      <c r="O329" s="118"/>
      <c r="P329" s="219">
        <f t="shared" si="262"/>
        <v>0</v>
      </c>
      <c r="Q329" s="219">
        <f t="shared" si="261"/>
        <v>0</v>
      </c>
      <c r="R329" s="219">
        <f t="shared" si="261"/>
        <v>0</v>
      </c>
    </row>
    <row r="330" spans="1:27" hidden="1" outlineLevel="4">
      <c r="A330" s="26" t="s">
        <v>136</v>
      </c>
      <c r="B330" s="36">
        <v>51313</v>
      </c>
      <c r="C330" s="382">
        <v>520313</v>
      </c>
      <c r="D330" s="383" t="s">
        <v>96</v>
      </c>
      <c r="E330" s="303"/>
      <c r="F330" s="302">
        <v>0</v>
      </c>
      <c r="G330" s="247">
        <v>0</v>
      </c>
      <c r="H330" s="118">
        <v>0</v>
      </c>
      <c r="I330" s="118"/>
      <c r="J330" s="118"/>
      <c r="K330" s="118">
        <f t="shared" si="263"/>
        <v>0</v>
      </c>
      <c r="L330" s="339">
        <f t="shared" si="261"/>
        <v>0</v>
      </c>
      <c r="M330" s="118"/>
      <c r="N330" s="118"/>
      <c r="O330" s="118"/>
      <c r="P330" s="219">
        <f t="shared" si="262"/>
        <v>0</v>
      </c>
      <c r="Q330" s="219">
        <f t="shared" si="261"/>
        <v>0</v>
      </c>
      <c r="R330" s="219">
        <f t="shared" si="261"/>
        <v>0</v>
      </c>
    </row>
    <row r="331" spans="1:27" hidden="1" outlineLevel="4">
      <c r="A331" s="26" t="s">
        <v>136</v>
      </c>
      <c r="B331" s="36">
        <v>51322</v>
      </c>
      <c r="C331" s="382">
        <v>520322</v>
      </c>
      <c r="D331" s="383" t="s">
        <v>98</v>
      </c>
      <c r="E331" s="73"/>
      <c r="F331" s="227">
        <v>0</v>
      </c>
      <c r="G331" s="247">
        <v>0</v>
      </c>
      <c r="H331" s="118">
        <v>0</v>
      </c>
      <c r="I331" s="118"/>
      <c r="J331" s="118"/>
      <c r="K331" s="118">
        <f t="shared" si="263"/>
        <v>0</v>
      </c>
      <c r="L331" s="339">
        <f t="shared" si="261"/>
        <v>0</v>
      </c>
      <c r="M331" s="118"/>
      <c r="N331" s="118"/>
      <c r="O331" s="118"/>
      <c r="P331" s="219">
        <f t="shared" si="262"/>
        <v>0</v>
      </c>
      <c r="Q331" s="219">
        <f t="shared" si="261"/>
        <v>0</v>
      </c>
      <c r="R331" s="219">
        <f t="shared" si="261"/>
        <v>0</v>
      </c>
    </row>
    <row r="332" spans="1:27" hidden="1" outlineLevel="4">
      <c r="A332" s="26" t="s">
        <v>136</v>
      </c>
      <c r="B332" s="36">
        <v>51324</v>
      </c>
      <c r="C332" s="382">
        <v>520324</v>
      </c>
      <c r="D332" s="383" t="s">
        <v>99</v>
      </c>
      <c r="E332" s="73"/>
      <c r="F332" s="227">
        <v>0</v>
      </c>
      <c r="G332" s="247">
        <v>0</v>
      </c>
      <c r="H332" s="118">
        <v>0</v>
      </c>
      <c r="I332" s="118"/>
      <c r="J332" s="118"/>
      <c r="K332" s="118">
        <f t="shared" si="263"/>
        <v>0</v>
      </c>
      <c r="L332" s="339">
        <f t="shared" si="261"/>
        <v>0</v>
      </c>
      <c r="M332" s="118"/>
      <c r="N332" s="118"/>
      <c r="O332" s="118"/>
      <c r="P332" s="219">
        <f t="shared" si="262"/>
        <v>0</v>
      </c>
      <c r="Q332" s="219">
        <f t="shared" si="261"/>
        <v>0</v>
      </c>
      <c r="R332" s="219">
        <f t="shared" si="261"/>
        <v>0</v>
      </c>
    </row>
    <row r="333" spans="1:27" hidden="1" outlineLevel="4">
      <c r="A333" s="26" t="s">
        <v>136</v>
      </c>
      <c r="B333" s="36">
        <v>51326</v>
      </c>
      <c r="C333" s="90">
        <v>520326</v>
      </c>
      <c r="D333" s="130" t="s">
        <v>509</v>
      </c>
      <c r="E333" s="380" t="s">
        <v>508</v>
      </c>
      <c r="F333" s="227">
        <f>20000+16000</f>
        <v>36000</v>
      </c>
      <c r="G333" s="248">
        <v>7546</v>
      </c>
      <c r="H333" s="118">
        <v>0</v>
      </c>
      <c r="I333" s="118">
        <v>21453</v>
      </c>
      <c r="J333" s="118"/>
      <c r="K333" s="118">
        <f t="shared" si="263"/>
        <v>21453</v>
      </c>
      <c r="L333" s="339">
        <v>101000</v>
      </c>
      <c r="M333" s="118">
        <v>135292.63</v>
      </c>
      <c r="N333" s="118"/>
      <c r="O333" s="118">
        <f>M333+N333</f>
        <v>135292.63</v>
      </c>
      <c r="P333" s="219">
        <v>101000</v>
      </c>
      <c r="Q333" s="219">
        <v>101000</v>
      </c>
      <c r="R333" s="219">
        <v>101000</v>
      </c>
      <c r="S333" s="11"/>
      <c r="T333" s="133"/>
      <c r="U333" s="227">
        <v>0</v>
      </c>
      <c r="V333" s="247">
        <v>0</v>
      </c>
      <c r="W333" s="118">
        <v>35000</v>
      </c>
      <c r="X333" s="118">
        <v>55324</v>
      </c>
      <c r="Y333" s="118"/>
      <c r="Z333" s="118">
        <f>X333+Y333</f>
        <v>55324</v>
      </c>
      <c r="AA333" s="219">
        <v>32000</v>
      </c>
    </row>
    <row r="334" spans="1:27" hidden="1" outlineLevel="4">
      <c r="B334" s="36"/>
      <c r="C334" s="90">
        <v>520332</v>
      </c>
      <c r="D334" s="130" t="s">
        <v>593</v>
      </c>
      <c r="E334" s="380" t="s">
        <v>508</v>
      </c>
      <c r="F334" s="227"/>
      <c r="G334" s="248"/>
      <c r="H334" s="118"/>
      <c r="I334" s="118"/>
      <c r="J334" s="118"/>
      <c r="K334" s="118"/>
      <c r="L334" s="339">
        <v>39836</v>
      </c>
      <c r="M334" s="118">
        <v>30936.48</v>
      </c>
      <c r="N334" s="118"/>
      <c r="O334" s="118">
        <f>M334+N334</f>
        <v>30936.48</v>
      </c>
      <c r="P334" s="219">
        <v>39836</v>
      </c>
      <c r="Q334" s="219">
        <v>39836</v>
      </c>
      <c r="R334" s="219">
        <v>39836</v>
      </c>
      <c r="S334" s="11"/>
      <c r="T334" s="133"/>
      <c r="U334" s="227">
        <v>40000</v>
      </c>
      <c r="V334" s="247">
        <v>31966</v>
      </c>
      <c r="W334" s="118">
        <v>38000</v>
      </c>
      <c r="X334" s="118">
        <v>16256</v>
      </c>
      <c r="Y334" s="118"/>
      <c r="Z334" s="118">
        <f>X334+Y334</f>
        <v>16256</v>
      </c>
      <c r="AA334" s="219">
        <v>18000</v>
      </c>
    </row>
    <row r="335" spans="1:27" hidden="1" outlineLevel="4">
      <c r="B335" s="36"/>
      <c r="C335" s="90">
        <v>520334</v>
      </c>
      <c r="D335" s="130" t="s">
        <v>594</v>
      </c>
      <c r="E335" s="380" t="s">
        <v>508</v>
      </c>
      <c r="F335" s="227"/>
      <c r="G335" s="248"/>
      <c r="H335" s="118"/>
      <c r="I335" s="118"/>
      <c r="J335" s="118"/>
      <c r="K335" s="118"/>
      <c r="L335" s="339">
        <f>59533-4200</f>
        <v>55333</v>
      </c>
      <c r="M335" s="118">
        <v>49616.58</v>
      </c>
      <c r="N335" s="118"/>
      <c r="O335" s="118">
        <f>M335+N335</f>
        <v>49616.58</v>
      </c>
      <c r="P335" s="339">
        <f>59533-4200</f>
        <v>55333</v>
      </c>
      <c r="Q335" s="339">
        <f>59533-4200</f>
        <v>55333</v>
      </c>
      <c r="R335" s="219">
        <f>59533-4200</f>
        <v>55333</v>
      </c>
    </row>
    <row r="336" spans="1:27" hidden="1" outlineLevel="4">
      <c r="B336" s="36"/>
      <c r="C336" s="382">
        <v>520336</v>
      </c>
      <c r="D336" s="383" t="s">
        <v>459</v>
      </c>
      <c r="E336" s="73"/>
      <c r="F336" s="227"/>
      <c r="G336" s="248"/>
      <c r="H336" s="118">
        <v>0</v>
      </c>
      <c r="I336" s="118">
        <v>37500</v>
      </c>
      <c r="J336" s="118">
        <v>0</v>
      </c>
      <c r="K336" s="118">
        <f t="shared" si="263"/>
        <v>37500</v>
      </c>
      <c r="L336" s="339">
        <v>0</v>
      </c>
      <c r="M336" s="118">
        <v>0</v>
      </c>
      <c r="N336" s="118"/>
      <c r="O336" s="118"/>
      <c r="P336" s="219">
        <v>0</v>
      </c>
      <c r="Q336" s="219">
        <v>0</v>
      </c>
      <c r="R336" s="219">
        <v>0</v>
      </c>
      <c r="S336" s="379"/>
    </row>
    <row r="337" spans="1:18" hidden="1" outlineLevel="4">
      <c r="A337" s="26" t="s">
        <v>136</v>
      </c>
      <c r="B337" s="36"/>
      <c r="C337" s="110">
        <v>520338</v>
      </c>
      <c r="D337" s="130" t="s">
        <v>504</v>
      </c>
      <c r="E337" s="381" t="s">
        <v>508</v>
      </c>
      <c r="F337" s="227">
        <f>22200+35000</f>
        <v>57200</v>
      </c>
      <c r="G337" s="376">
        <v>46012</v>
      </c>
      <c r="H337" s="178">
        <v>0</v>
      </c>
      <c r="I337" s="178">
        <v>27108</v>
      </c>
      <c r="J337" s="178">
        <v>0</v>
      </c>
      <c r="K337" s="178">
        <f t="shared" si="263"/>
        <v>27108</v>
      </c>
      <c r="L337" s="420">
        <v>99800</v>
      </c>
      <c r="M337" s="178">
        <v>86018.6</v>
      </c>
      <c r="N337" s="178">
        <v>0</v>
      </c>
      <c r="O337" s="300">
        <f>M337+N337</f>
        <v>86018.6</v>
      </c>
      <c r="P337" s="296">
        <v>99800</v>
      </c>
      <c r="Q337" s="296">
        <v>99800</v>
      </c>
      <c r="R337" s="296">
        <v>99800</v>
      </c>
    </row>
    <row r="338" spans="1:18" hidden="1" outlineLevel="4">
      <c r="A338" s="26" t="s">
        <v>2</v>
      </c>
      <c r="B338" s="36">
        <v>51339</v>
      </c>
      <c r="C338" s="112">
        <v>520399</v>
      </c>
      <c r="D338" s="171" t="s">
        <v>294</v>
      </c>
      <c r="E338" s="73"/>
      <c r="F338" s="232">
        <f>SUM(F323:F337)</f>
        <v>186550</v>
      </c>
      <c r="G338" s="245">
        <f>SUM(G323:G337)</f>
        <v>125760</v>
      </c>
      <c r="H338" s="194">
        <v>145900</v>
      </c>
      <c r="I338" s="194">
        <f>SUM(I323:I337)</f>
        <v>91425</v>
      </c>
      <c r="J338" s="194">
        <f>SUM(J323:J337)</f>
        <v>0</v>
      </c>
      <c r="K338" s="118">
        <f t="shared" si="263"/>
        <v>91425</v>
      </c>
      <c r="L338" s="434">
        <f>SUM(L323:L337)</f>
        <v>295969</v>
      </c>
      <c r="M338" s="221">
        <f>SUM(M323:M337)</f>
        <v>301864.29000000004</v>
      </c>
      <c r="N338" s="441">
        <f>SUM(N323:N337)</f>
        <v>0</v>
      </c>
      <c r="O338" s="194">
        <f>M338+N338</f>
        <v>301864.29000000004</v>
      </c>
      <c r="P338" s="221">
        <f>SUM(P323:P337)</f>
        <v>295969</v>
      </c>
      <c r="Q338" s="221">
        <f>SUM(Q323:Q337)</f>
        <v>295969</v>
      </c>
      <c r="R338" s="221">
        <f>SUM(R323:R337)</f>
        <v>295969</v>
      </c>
    </row>
    <row r="339" spans="1:18" hidden="1" outlineLevel="3">
      <c r="B339" s="34"/>
      <c r="C339" s="114"/>
      <c r="D339" s="172"/>
      <c r="E339" s="73"/>
      <c r="F339" s="233"/>
      <c r="G339" s="247"/>
      <c r="H339" s="118"/>
      <c r="I339" s="118"/>
      <c r="J339" s="118"/>
      <c r="K339" s="118"/>
      <c r="L339" s="339"/>
      <c r="M339" s="118"/>
      <c r="N339" s="118"/>
      <c r="O339" s="118"/>
      <c r="P339" s="219"/>
      <c r="Q339" s="219"/>
      <c r="R339" s="219"/>
    </row>
    <row r="340" spans="1:18" hidden="1" outlineLevel="3" collapsed="1">
      <c r="A340" s="26" t="s">
        <v>0</v>
      </c>
      <c r="B340" s="36"/>
      <c r="C340" s="112">
        <v>520400</v>
      </c>
      <c r="D340" s="55" t="s">
        <v>275</v>
      </c>
      <c r="E340" s="44"/>
      <c r="F340" s="219"/>
      <c r="G340" s="247"/>
      <c r="H340" s="118">
        <f>H344</f>
        <v>0</v>
      </c>
      <c r="I340" s="118">
        <f t="shared" ref="I340:R340" si="264">I344</f>
        <v>0</v>
      </c>
      <c r="J340" s="118">
        <f t="shared" si="264"/>
        <v>0</v>
      </c>
      <c r="K340" s="118">
        <f t="shared" si="264"/>
        <v>0</v>
      </c>
      <c r="L340" s="339">
        <f t="shared" si="264"/>
        <v>0</v>
      </c>
      <c r="M340" s="118">
        <f>M344</f>
        <v>0</v>
      </c>
      <c r="N340" s="118">
        <f>N344</f>
        <v>0</v>
      </c>
      <c r="O340" s="246">
        <f>O344</f>
        <v>0</v>
      </c>
      <c r="P340" s="339">
        <f t="shared" si="264"/>
        <v>0</v>
      </c>
      <c r="Q340" s="339">
        <f t="shared" si="264"/>
        <v>0</v>
      </c>
      <c r="R340" s="118">
        <f t="shared" si="264"/>
        <v>0</v>
      </c>
    </row>
    <row r="341" spans="1:18" hidden="1" outlineLevel="4">
      <c r="A341" s="26" t="s">
        <v>136</v>
      </c>
      <c r="B341" s="36">
        <v>51401</v>
      </c>
      <c r="C341" s="90">
        <v>520401</v>
      </c>
      <c r="D341" s="130" t="s">
        <v>284</v>
      </c>
      <c r="E341" s="42"/>
      <c r="F341" s="227">
        <v>20816.666666666668</v>
      </c>
      <c r="G341" s="247">
        <v>20037</v>
      </c>
      <c r="H341" s="118">
        <v>0</v>
      </c>
      <c r="I341" s="118">
        <v>0</v>
      </c>
      <c r="J341" s="118">
        <v>0</v>
      </c>
      <c r="K341" s="118">
        <f>I341+J341</f>
        <v>0</v>
      </c>
      <c r="L341" s="339">
        <v>0</v>
      </c>
      <c r="M341" s="118"/>
      <c r="N341" s="118"/>
      <c r="O341" s="118"/>
      <c r="P341" s="219">
        <v>0</v>
      </c>
      <c r="Q341" s="219">
        <v>0</v>
      </c>
      <c r="R341" s="219">
        <v>0</v>
      </c>
    </row>
    <row r="342" spans="1:18" hidden="1" outlineLevel="4">
      <c r="A342" s="26" t="s">
        <v>136</v>
      </c>
      <c r="B342" s="36">
        <v>51403</v>
      </c>
      <c r="C342" s="90">
        <v>520403</v>
      </c>
      <c r="D342" s="130" t="s">
        <v>285</v>
      </c>
      <c r="E342" s="42"/>
      <c r="F342" s="227">
        <v>840</v>
      </c>
      <c r="G342" s="247">
        <v>0</v>
      </c>
      <c r="H342" s="118">
        <v>0</v>
      </c>
      <c r="I342" s="118">
        <v>0</v>
      </c>
      <c r="J342" s="118">
        <v>0</v>
      </c>
      <c r="K342" s="118">
        <f>I342+J342</f>
        <v>0</v>
      </c>
      <c r="L342" s="339">
        <v>0</v>
      </c>
      <c r="M342" s="118"/>
      <c r="N342" s="118"/>
      <c r="O342" s="118"/>
      <c r="P342" s="219">
        <v>0</v>
      </c>
      <c r="Q342" s="219">
        <v>0</v>
      </c>
      <c r="R342" s="219">
        <v>0</v>
      </c>
    </row>
    <row r="343" spans="1:18" hidden="1" outlineLevel="4">
      <c r="A343" s="26" t="s">
        <v>136</v>
      </c>
      <c r="B343" s="36">
        <v>51405</v>
      </c>
      <c r="C343" s="90">
        <v>520405</v>
      </c>
      <c r="D343" s="130" t="s">
        <v>288</v>
      </c>
      <c r="E343" s="42"/>
      <c r="F343" s="227">
        <v>7000</v>
      </c>
      <c r="G343" s="247">
        <v>8965</v>
      </c>
      <c r="H343" s="118">
        <v>0</v>
      </c>
      <c r="I343" s="118">
        <v>0</v>
      </c>
      <c r="J343" s="118">
        <v>0</v>
      </c>
      <c r="K343" s="118">
        <f>I343+J343</f>
        <v>0</v>
      </c>
      <c r="L343" s="339">
        <v>0</v>
      </c>
      <c r="M343" s="118"/>
      <c r="N343" s="118"/>
      <c r="O343" s="118"/>
      <c r="P343" s="219">
        <v>0</v>
      </c>
      <c r="Q343" s="219">
        <v>0</v>
      </c>
      <c r="R343" s="219">
        <v>0</v>
      </c>
    </row>
    <row r="344" spans="1:18" hidden="1" outlineLevel="4">
      <c r="A344" s="26" t="s">
        <v>2</v>
      </c>
      <c r="B344" s="36">
        <v>51449</v>
      </c>
      <c r="C344" s="112">
        <v>520499</v>
      </c>
      <c r="D344" s="171" t="s">
        <v>137</v>
      </c>
      <c r="E344" s="42"/>
      <c r="F344" s="226">
        <f>SUM(F341:F343)</f>
        <v>28656.666666666668</v>
      </c>
      <c r="G344" s="245">
        <f>SUM(G341:G343)</f>
        <v>29002</v>
      </c>
      <c r="H344" s="179">
        <f>SUM(H341:H343)</f>
        <v>0</v>
      </c>
      <c r="I344" s="179">
        <f t="shared" ref="I344:J344" si="265">SUM(I341:I343)</f>
        <v>0</v>
      </c>
      <c r="J344" s="179">
        <f t="shared" si="265"/>
        <v>0</v>
      </c>
      <c r="K344" s="118">
        <f>I344+J344</f>
        <v>0</v>
      </c>
      <c r="L344" s="419">
        <f t="shared" ref="L344:R344" si="266">SUM(L341:L343)</f>
        <v>0</v>
      </c>
      <c r="M344" s="220">
        <f t="shared" si="266"/>
        <v>0</v>
      </c>
      <c r="N344" s="179">
        <f t="shared" si="266"/>
        <v>0</v>
      </c>
      <c r="O344" s="251">
        <f t="shared" si="266"/>
        <v>0</v>
      </c>
      <c r="P344" s="220">
        <f t="shared" si="266"/>
        <v>0</v>
      </c>
      <c r="Q344" s="220">
        <f t="shared" si="266"/>
        <v>0</v>
      </c>
      <c r="R344" s="220">
        <f t="shared" si="266"/>
        <v>0</v>
      </c>
    </row>
    <row r="345" spans="1:18" hidden="1" outlineLevel="3">
      <c r="B345" s="36"/>
      <c r="C345" s="112"/>
      <c r="D345" s="171"/>
      <c r="E345" s="42"/>
      <c r="F345" s="226"/>
      <c r="G345" s="245"/>
      <c r="H345" s="179"/>
      <c r="I345" s="179"/>
      <c r="J345" s="179"/>
      <c r="K345" s="118"/>
      <c r="L345" s="419"/>
      <c r="M345" s="179"/>
      <c r="N345" s="179"/>
      <c r="O345" s="179"/>
      <c r="P345" s="220"/>
      <c r="Q345" s="220"/>
      <c r="R345" s="220"/>
    </row>
    <row r="346" spans="1:18" hidden="1" outlineLevel="3">
      <c r="B346" s="36"/>
      <c r="C346" s="470">
        <v>520499</v>
      </c>
      <c r="D346" s="171" t="s">
        <v>447</v>
      </c>
      <c r="E346" s="344"/>
      <c r="F346" s="226"/>
      <c r="G346" s="245"/>
      <c r="H346" s="179">
        <f>H305+H316+H322</f>
        <v>604727</v>
      </c>
      <c r="I346" s="179">
        <f>I305+I316+I322</f>
        <v>524678</v>
      </c>
      <c r="J346" s="179">
        <f>J305+J316+J322</f>
        <v>0</v>
      </c>
      <c r="K346" s="179">
        <f>K305+K316+K322</f>
        <v>524678</v>
      </c>
      <c r="L346" s="419">
        <f t="shared" ref="L346:R346" si="267">L314+L320+L338+L344</f>
        <v>626969</v>
      </c>
      <c r="M346" s="219">
        <f t="shared" si="267"/>
        <v>598842.33000000007</v>
      </c>
      <c r="N346" s="118">
        <f t="shared" si="267"/>
        <v>0</v>
      </c>
      <c r="O346" s="246">
        <f t="shared" si="267"/>
        <v>598842.33000000007</v>
      </c>
      <c r="P346" s="220">
        <f t="shared" si="267"/>
        <v>575969</v>
      </c>
      <c r="Q346" s="220">
        <f t="shared" si="267"/>
        <v>575969</v>
      </c>
      <c r="R346" s="220">
        <f t="shared" si="267"/>
        <v>575969</v>
      </c>
    </row>
    <row r="347" spans="1:18" ht="9" customHeight="1" outlineLevel="2">
      <c r="B347" s="36"/>
      <c r="C347" s="112"/>
      <c r="D347" s="171"/>
      <c r="E347" s="42"/>
      <c r="F347" s="226"/>
      <c r="G347" s="245"/>
      <c r="H347" s="179"/>
      <c r="I347" s="179"/>
      <c r="J347" s="179"/>
      <c r="K347" s="118"/>
      <c r="L347" s="419"/>
      <c r="M347" s="179"/>
      <c r="N347" s="179"/>
      <c r="O347" s="179"/>
      <c r="P347" s="220"/>
      <c r="Q347" s="220"/>
      <c r="R347" s="220"/>
    </row>
    <row r="348" spans="1:18" outlineLevel="2" collapsed="1">
      <c r="B348" s="36"/>
      <c r="C348" s="88">
        <v>520500</v>
      </c>
      <c r="D348" s="328" t="s">
        <v>440</v>
      </c>
      <c r="E348" s="342" t="s">
        <v>458</v>
      </c>
      <c r="F348" s="226"/>
      <c r="G348" s="245"/>
      <c r="H348" s="179"/>
      <c r="I348" s="179"/>
      <c r="J348" s="179"/>
      <c r="K348" s="118"/>
      <c r="L348" s="339">
        <f>L351</f>
        <v>390000</v>
      </c>
      <c r="M348" s="118">
        <f>M351</f>
        <v>382424.47000000003</v>
      </c>
      <c r="N348" s="118">
        <f>N351</f>
        <v>0</v>
      </c>
      <c r="O348" s="118">
        <f>O351</f>
        <v>382424.47000000003</v>
      </c>
      <c r="P348" s="219">
        <f>P351</f>
        <v>390000</v>
      </c>
      <c r="Q348" s="219">
        <f t="shared" ref="Q348:R348" si="268">Q351</f>
        <v>390000</v>
      </c>
      <c r="R348" s="219">
        <f t="shared" si="268"/>
        <v>390000</v>
      </c>
    </row>
    <row r="349" spans="1:18" hidden="1" outlineLevel="3">
      <c r="B349" s="36"/>
      <c r="C349" s="110">
        <v>520501</v>
      </c>
      <c r="D349" s="56" t="s">
        <v>441</v>
      </c>
      <c r="F349" s="219"/>
      <c r="G349" s="313"/>
      <c r="H349" s="118"/>
      <c r="I349" s="118"/>
      <c r="J349" s="5"/>
      <c r="K349" s="118"/>
      <c r="L349" s="341">
        <v>350000</v>
      </c>
      <c r="M349" s="73">
        <v>337008.15</v>
      </c>
      <c r="N349" s="73"/>
      <c r="O349" s="73">
        <f>M349+N349</f>
        <v>337008.15</v>
      </c>
      <c r="P349" s="298">
        <v>350000</v>
      </c>
      <c r="Q349" s="298">
        <v>350000</v>
      </c>
      <c r="R349" s="298">
        <v>350000</v>
      </c>
    </row>
    <row r="350" spans="1:18" hidden="1" outlineLevel="3">
      <c r="B350" s="36"/>
      <c r="C350" s="110">
        <v>520504</v>
      </c>
      <c r="D350" s="56" t="s">
        <v>408</v>
      </c>
      <c r="F350" s="219"/>
      <c r="G350" s="313"/>
      <c r="H350" s="178"/>
      <c r="I350" s="178"/>
      <c r="J350" s="293"/>
      <c r="K350" s="300"/>
      <c r="L350" s="426">
        <v>40000</v>
      </c>
      <c r="M350" s="213">
        <v>45416.32</v>
      </c>
      <c r="N350" s="213"/>
      <c r="O350" s="442">
        <f>M350+N350</f>
        <v>45416.32</v>
      </c>
      <c r="P350" s="309">
        <v>40000</v>
      </c>
      <c r="Q350" s="309">
        <v>40000</v>
      </c>
      <c r="R350" s="309">
        <v>40000</v>
      </c>
    </row>
    <row r="351" spans="1:18" hidden="1" outlineLevel="3">
      <c r="B351" s="36"/>
      <c r="C351" s="115">
        <v>520509</v>
      </c>
      <c r="D351" s="55" t="s">
        <v>457</v>
      </c>
      <c r="E351" s="326"/>
      <c r="F351" s="219"/>
      <c r="G351" s="313"/>
      <c r="H351" s="118"/>
      <c r="I351" s="118"/>
      <c r="J351" s="5"/>
      <c r="K351" s="246"/>
      <c r="L351" s="434">
        <f>SUM(L349:L350)</f>
        <v>390000</v>
      </c>
      <c r="M351" s="194">
        <f>M349+M350</f>
        <v>382424.47000000003</v>
      </c>
      <c r="N351" s="194">
        <f>N349+N350</f>
        <v>0</v>
      </c>
      <c r="O351" s="194">
        <f>O349+O350</f>
        <v>382424.47000000003</v>
      </c>
      <c r="P351" s="221">
        <f t="shared" ref="P351:R351" si="269">SUM(P349:P350)</f>
        <v>390000</v>
      </c>
      <c r="Q351" s="221">
        <f t="shared" si="269"/>
        <v>390000</v>
      </c>
      <c r="R351" s="221">
        <f t="shared" si="269"/>
        <v>390000</v>
      </c>
    </row>
    <row r="352" spans="1:18" ht="9" customHeight="1" outlineLevel="2">
      <c r="B352" s="36"/>
      <c r="C352" s="112"/>
      <c r="D352" s="171"/>
      <c r="E352" s="42"/>
      <c r="F352" s="226"/>
      <c r="G352" s="245"/>
      <c r="H352" s="179"/>
      <c r="I352" s="179"/>
      <c r="J352" s="179"/>
      <c r="K352" s="118"/>
      <c r="L352" s="419"/>
      <c r="M352" s="179"/>
      <c r="N352" s="179"/>
      <c r="O352" s="179"/>
      <c r="P352" s="220"/>
      <c r="Q352" s="220"/>
      <c r="R352" s="220"/>
    </row>
    <row r="353" spans="1:21" outlineLevel="2">
      <c r="A353" s="26" t="s">
        <v>2</v>
      </c>
      <c r="B353" s="36">
        <v>51559</v>
      </c>
      <c r="C353" s="112">
        <v>520599</v>
      </c>
      <c r="D353" s="327" t="s">
        <v>411</v>
      </c>
      <c r="E353" s="344"/>
      <c r="F353" s="226">
        <f>F314+F320+F338+F344</f>
        <v>608138.66666666663</v>
      </c>
      <c r="G353" s="245">
        <f>G314+G320+G338+G344</f>
        <v>542515</v>
      </c>
      <c r="H353" s="118">
        <f>H314+H320+H338+H344</f>
        <v>604727</v>
      </c>
      <c r="I353" s="118">
        <f>I314+I320+I338+I344</f>
        <v>524678</v>
      </c>
      <c r="J353" s="118">
        <f>J314+J320+J338+J344</f>
        <v>0</v>
      </c>
      <c r="K353" s="118">
        <f>I353+J353</f>
        <v>524678</v>
      </c>
      <c r="L353" s="339">
        <f t="shared" ref="L353:R353" si="270">L314+L320+L338+L344+L351</f>
        <v>1016969</v>
      </c>
      <c r="M353" s="219">
        <f t="shared" si="270"/>
        <v>981266.8</v>
      </c>
      <c r="N353" s="118">
        <f t="shared" si="270"/>
        <v>0</v>
      </c>
      <c r="O353" s="246">
        <f t="shared" si="270"/>
        <v>981266.8</v>
      </c>
      <c r="P353" s="219">
        <f t="shared" si="270"/>
        <v>965969</v>
      </c>
      <c r="Q353" s="219">
        <f t="shared" si="270"/>
        <v>965969</v>
      </c>
      <c r="R353" s="219">
        <f t="shared" si="270"/>
        <v>965969</v>
      </c>
    </row>
    <row r="354" spans="1:21" ht="5.0999999999999996" customHeight="1" outlineLevel="1">
      <c r="B354" s="33"/>
      <c r="D354" s="10"/>
      <c r="F354" s="219"/>
      <c r="G354" s="247"/>
      <c r="H354" s="118"/>
      <c r="I354" s="118"/>
      <c r="J354" s="118"/>
      <c r="K354" s="118"/>
      <c r="L354" s="339"/>
      <c r="M354" s="118"/>
      <c r="N354" s="118"/>
      <c r="O354" s="118"/>
      <c r="P354" s="219"/>
      <c r="Q354" s="219"/>
      <c r="R354" s="219"/>
    </row>
    <row r="355" spans="1:21" outlineLevel="1" collapsed="1">
      <c r="A355" s="44" t="s">
        <v>0</v>
      </c>
      <c r="B355" s="36"/>
      <c r="C355" s="112">
        <v>530000</v>
      </c>
      <c r="D355" s="335" t="s">
        <v>442</v>
      </c>
      <c r="E355" s="316" t="s">
        <v>592</v>
      </c>
      <c r="F355" s="228">
        <f>F357</f>
        <v>0</v>
      </c>
      <c r="G355" s="248">
        <f>SUM(G356:G356)</f>
        <v>356</v>
      </c>
      <c r="H355" s="118">
        <f>H357</f>
        <v>400</v>
      </c>
      <c r="I355" s="118">
        <v>273</v>
      </c>
      <c r="J355" s="118">
        <f t="shared" ref="J355" si="271">J357</f>
        <v>0</v>
      </c>
      <c r="K355" s="118">
        <f>I355+J355</f>
        <v>273</v>
      </c>
      <c r="L355" s="416">
        <f t="shared" ref="L355:R355" si="272">L357</f>
        <v>250</v>
      </c>
      <c r="M355" s="358">
        <f t="shared" si="272"/>
        <v>0</v>
      </c>
      <c r="N355" s="358">
        <f t="shared" si="272"/>
        <v>0</v>
      </c>
      <c r="O355" s="358">
        <f t="shared" si="272"/>
        <v>0</v>
      </c>
      <c r="P355" s="332">
        <f t="shared" si="272"/>
        <v>0</v>
      </c>
      <c r="Q355" s="332">
        <f t="shared" si="272"/>
        <v>0</v>
      </c>
      <c r="R355" s="332">
        <f t="shared" si="272"/>
        <v>0</v>
      </c>
    </row>
    <row r="356" spans="1:21" hidden="1" outlineLevel="2">
      <c r="A356" s="44" t="s">
        <v>136</v>
      </c>
      <c r="B356" s="36">
        <v>5135</v>
      </c>
      <c r="C356" s="90">
        <v>530001</v>
      </c>
      <c r="D356" s="11" t="s">
        <v>159</v>
      </c>
      <c r="E356" s="316" t="s">
        <v>561</v>
      </c>
      <c r="F356" s="296">
        <v>0</v>
      </c>
      <c r="G356" s="312">
        <v>356</v>
      </c>
      <c r="H356" s="178">
        <v>400</v>
      </c>
      <c r="I356" s="178">
        <v>228</v>
      </c>
      <c r="J356" s="329">
        <v>0</v>
      </c>
      <c r="K356" s="178">
        <f>I356+J356</f>
        <v>228</v>
      </c>
      <c r="L356" s="420">
        <v>250</v>
      </c>
      <c r="M356" s="178">
        <v>0</v>
      </c>
      <c r="N356" s="178">
        <v>0</v>
      </c>
      <c r="O356" s="178">
        <v>0</v>
      </c>
      <c r="P356" s="296">
        <v>0</v>
      </c>
      <c r="Q356" s="296">
        <v>0</v>
      </c>
      <c r="R356" s="296">
        <v>0</v>
      </c>
    </row>
    <row r="357" spans="1:21" hidden="1" outlineLevel="2">
      <c r="A357" s="44" t="s">
        <v>2</v>
      </c>
      <c r="B357" s="36">
        <v>5139</v>
      </c>
      <c r="C357" s="90">
        <v>530009</v>
      </c>
      <c r="D357" s="10" t="s">
        <v>179</v>
      </c>
      <c r="F357" s="219">
        <f>F356</f>
        <v>0</v>
      </c>
      <c r="G357" s="247">
        <f>G356</f>
        <v>356</v>
      </c>
      <c r="H357" s="179">
        <f>H356</f>
        <v>400</v>
      </c>
      <c r="I357" s="179">
        <f>I356</f>
        <v>228</v>
      </c>
      <c r="J357" s="179">
        <f>J356</f>
        <v>0</v>
      </c>
      <c r="K357" s="179">
        <f>I357+J357</f>
        <v>228</v>
      </c>
      <c r="L357" s="419">
        <f>SUM(L356:L356)</f>
        <v>250</v>
      </c>
      <c r="M357" s="179">
        <f>M356</f>
        <v>0</v>
      </c>
      <c r="N357" s="179">
        <f>N356</f>
        <v>0</v>
      </c>
      <c r="O357" s="179">
        <f>O356</f>
        <v>0</v>
      </c>
      <c r="P357" s="220">
        <f>SUM(P356:P356)</f>
        <v>0</v>
      </c>
      <c r="Q357" s="220">
        <f>SUM(Q356:Q356)</f>
        <v>0</v>
      </c>
      <c r="R357" s="220">
        <f>SUM(R356:R356)</f>
        <v>0</v>
      </c>
    </row>
    <row r="358" spans="1:21" ht="5.0999999999999996" customHeight="1" outlineLevel="1">
      <c r="A358" s="44"/>
      <c r="B358" s="36"/>
      <c r="F358" s="219"/>
      <c r="G358" s="247"/>
      <c r="H358" s="118"/>
      <c r="I358" s="5"/>
      <c r="J358" s="5"/>
      <c r="K358" s="118"/>
      <c r="L358" s="339"/>
      <c r="M358" s="118"/>
      <c r="N358" s="118"/>
      <c r="O358" s="118"/>
      <c r="P358" s="219"/>
      <c r="Q358" s="219"/>
      <c r="R358" s="219"/>
    </row>
    <row r="359" spans="1:21" outlineLevel="1">
      <c r="A359" s="44"/>
      <c r="B359" s="36"/>
      <c r="C359" s="88">
        <v>533000</v>
      </c>
      <c r="D359" s="314" t="s">
        <v>409</v>
      </c>
      <c r="E359" s="355" t="s">
        <v>458</v>
      </c>
      <c r="F359" s="219"/>
      <c r="G359" s="247"/>
      <c r="H359" s="118"/>
      <c r="I359" s="5"/>
      <c r="J359" s="5"/>
      <c r="K359" s="118"/>
      <c r="L359" s="339">
        <f t="shared" ref="L359:R359" si="273">L362</f>
        <v>120000</v>
      </c>
      <c r="M359" s="219">
        <f t="shared" si="273"/>
        <v>109476.61</v>
      </c>
      <c r="N359" s="118">
        <f t="shared" si="273"/>
        <v>0</v>
      </c>
      <c r="O359" s="246">
        <f t="shared" si="273"/>
        <v>109476.61</v>
      </c>
      <c r="P359" s="219">
        <f t="shared" si="273"/>
        <v>120000</v>
      </c>
      <c r="Q359" s="219">
        <f t="shared" si="273"/>
        <v>120000</v>
      </c>
      <c r="R359" s="219">
        <f t="shared" si="273"/>
        <v>120000</v>
      </c>
      <c r="U359" s="315" t="s">
        <v>412</v>
      </c>
    </row>
    <row r="360" spans="1:21" outlineLevel="2">
      <c r="A360" s="44"/>
      <c r="B360" s="36"/>
      <c r="C360" s="110">
        <v>533001</v>
      </c>
      <c r="D360" s="56" t="s">
        <v>78</v>
      </c>
      <c r="F360" s="219"/>
      <c r="G360" s="247"/>
      <c r="H360" s="118"/>
      <c r="I360" s="5"/>
      <c r="J360" s="338"/>
      <c r="K360" s="338" t="s">
        <v>460</v>
      </c>
      <c r="L360" s="321">
        <v>110000</v>
      </c>
      <c r="M360" s="321">
        <v>100715.06</v>
      </c>
      <c r="N360" s="412"/>
      <c r="O360" s="412">
        <f>M360+N360</f>
        <v>100715.06</v>
      </c>
      <c r="P360" s="321">
        <v>110000</v>
      </c>
      <c r="Q360" s="321">
        <v>110000</v>
      </c>
      <c r="R360" s="321">
        <v>110000</v>
      </c>
      <c r="U360" s="319">
        <f>T267+L283+L360</f>
        <v>450000</v>
      </c>
    </row>
    <row r="361" spans="1:21" outlineLevel="2">
      <c r="A361" s="44"/>
      <c r="B361" s="36"/>
      <c r="C361" s="110">
        <v>533002</v>
      </c>
      <c r="D361" s="56" t="s">
        <v>29</v>
      </c>
      <c r="F361" s="219"/>
      <c r="G361" s="247"/>
      <c r="H361" s="118"/>
      <c r="I361" s="5"/>
      <c r="J361" s="5"/>
      <c r="K361" s="118"/>
      <c r="L361" s="307">
        <v>10000</v>
      </c>
      <c r="M361" s="307">
        <v>8761.5499999999993</v>
      </c>
      <c r="N361" s="413"/>
      <c r="O361" s="413">
        <f>M361+N361</f>
        <v>8761.5499999999993</v>
      </c>
      <c r="P361" s="307">
        <v>10000</v>
      </c>
      <c r="Q361" s="307">
        <v>10000</v>
      </c>
      <c r="R361" s="307">
        <v>10000</v>
      </c>
    </row>
    <row r="362" spans="1:21" outlineLevel="2">
      <c r="A362" s="44"/>
      <c r="B362" s="36"/>
      <c r="C362" s="110">
        <v>533009</v>
      </c>
      <c r="D362" s="10" t="s">
        <v>410</v>
      </c>
      <c r="F362" s="219"/>
      <c r="G362" s="247"/>
      <c r="H362" s="118"/>
      <c r="I362" s="5"/>
      <c r="J362" s="5"/>
      <c r="K362" s="118"/>
      <c r="L362" s="220">
        <f t="shared" ref="L362:R362" si="274">SUM(L360:L361)</f>
        <v>120000</v>
      </c>
      <c r="M362" s="220">
        <f t="shared" si="274"/>
        <v>109476.61</v>
      </c>
      <c r="N362" s="409">
        <f t="shared" si="274"/>
        <v>0</v>
      </c>
      <c r="O362" s="179">
        <f t="shared" si="274"/>
        <v>109476.61</v>
      </c>
      <c r="P362" s="220">
        <f t="shared" si="274"/>
        <v>120000</v>
      </c>
      <c r="Q362" s="220">
        <f t="shared" si="274"/>
        <v>120000</v>
      </c>
      <c r="R362" s="220">
        <f t="shared" si="274"/>
        <v>120000</v>
      </c>
    </row>
    <row r="363" spans="1:21">
      <c r="A363" s="26" t="s">
        <v>2</v>
      </c>
      <c r="B363" s="33"/>
      <c r="C363" s="115">
        <v>599998</v>
      </c>
      <c r="D363" s="163" t="s">
        <v>170</v>
      </c>
      <c r="E363" s="354"/>
      <c r="F363" s="222">
        <f t="shared" ref="F363:O363" si="275">F47+F80+F111+F128+F160+F186+F219+F223+F241</f>
        <v>3171529.9166666665</v>
      </c>
      <c r="G363" s="245">
        <f t="shared" si="275"/>
        <v>3170146</v>
      </c>
      <c r="H363" s="192">
        <f t="shared" si="275"/>
        <v>3248127</v>
      </c>
      <c r="I363" s="192">
        <f t="shared" si="275"/>
        <v>3083285</v>
      </c>
      <c r="J363" s="192">
        <f t="shared" si="275"/>
        <v>0</v>
      </c>
      <c r="K363" s="192">
        <f t="shared" si="275"/>
        <v>3083285</v>
      </c>
      <c r="L363" s="222">
        <f t="shared" si="275"/>
        <v>2996764</v>
      </c>
      <c r="M363" s="222">
        <f t="shared" si="275"/>
        <v>2956977.95</v>
      </c>
      <c r="N363" s="192">
        <f t="shared" si="275"/>
        <v>0</v>
      </c>
      <c r="O363" s="192">
        <f t="shared" si="275"/>
        <v>2956977.95</v>
      </c>
      <c r="P363" s="222">
        <f>P47+P80+P111+P128+P160+P186+P198++P210+P219+P223+P241</f>
        <v>2849258</v>
      </c>
      <c r="Q363" s="222">
        <f>Q47+Q80+Q111+Q128+Q160+Q186+Q198++Q210+Q219+Q223+Q241</f>
        <v>2743519</v>
      </c>
      <c r="R363" s="222">
        <f>R47+R80+R111+R128+R160+R186+R198++R210+R219+R223+R241</f>
        <v>2786019</v>
      </c>
    </row>
    <row r="364" spans="1:21" ht="8.1" customHeight="1">
      <c r="A364" s="66"/>
      <c r="B364" s="39"/>
      <c r="C364" s="116"/>
      <c r="D364" s="40"/>
      <c r="E364" s="160"/>
      <c r="F364" s="223"/>
      <c r="G364" s="253"/>
      <c r="H364" s="193"/>
      <c r="I364" s="193"/>
      <c r="J364" s="193"/>
      <c r="K364" s="193"/>
      <c r="L364" s="223"/>
      <c r="M364" s="223"/>
      <c r="N364" s="193"/>
      <c r="O364" s="193"/>
      <c r="P364" s="223"/>
      <c r="Q364" s="223"/>
      <c r="R364" s="223"/>
    </row>
    <row r="365" spans="1:21">
      <c r="A365" s="26" t="s">
        <v>2</v>
      </c>
      <c r="B365" s="33"/>
      <c r="C365" s="112">
        <v>599999</v>
      </c>
      <c r="D365" s="174" t="s">
        <v>130</v>
      </c>
      <c r="E365" s="344"/>
      <c r="F365" s="234">
        <f t="shared" ref="F365:N365" si="276">F3-F363</f>
        <v>16735.083333333489</v>
      </c>
      <c r="G365" s="254">
        <f t="shared" si="276"/>
        <v>-64227</v>
      </c>
      <c r="H365" s="194">
        <f t="shared" si="276"/>
        <v>168409</v>
      </c>
      <c r="I365" s="194">
        <f t="shared" si="276"/>
        <v>405228</v>
      </c>
      <c r="J365" s="194">
        <f t="shared" si="276"/>
        <v>0</v>
      </c>
      <c r="K365" s="194">
        <f t="shared" si="276"/>
        <v>405227.5</v>
      </c>
      <c r="L365" s="221">
        <f t="shared" si="276"/>
        <v>68056</v>
      </c>
      <c r="M365" s="221">
        <f t="shared" si="276"/>
        <v>24090.290000000037</v>
      </c>
      <c r="N365" s="194">
        <f t="shared" si="276"/>
        <v>0</v>
      </c>
      <c r="O365" s="194">
        <f>O3-O363</f>
        <v>24090.290000000037</v>
      </c>
      <c r="P365" s="221">
        <f>P3-P363</f>
        <v>46116</v>
      </c>
      <c r="Q365" s="221">
        <f>Q3-Q363</f>
        <v>96481</v>
      </c>
      <c r="R365" s="221">
        <f>R3-R363</f>
        <v>-330019</v>
      </c>
    </row>
    <row r="366" spans="1:21">
      <c r="A366" s="26" t="s">
        <v>136</v>
      </c>
      <c r="B366" s="33">
        <v>2060</v>
      </c>
      <c r="C366" s="112">
        <v>600001</v>
      </c>
      <c r="D366" s="174" t="s">
        <v>7</v>
      </c>
      <c r="E366" s="344"/>
      <c r="F366" s="228">
        <v>0</v>
      </c>
      <c r="G366" s="248">
        <v>10765</v>
      </c>
      <c r="H366" s="118">
        <f>16435+(4*11550)</f>
        <v>62635</v>
      </c>
      <c r="I366" s="73">
        <v>393722</v>
      </c>
      <c r="J366" s="73">
        <v>0</v>
      </c>
      <c r="K366" s="179">
        <f>I366+J366</f>
        <v>393722</v>
      </c>
      <c r="L366" s="219">
        <f>28000+34250</f>
        <v>62250</v>
      </c>
      <c r="M366" s="219">
        <v>34250.25</v>
      </c>
      <c r="N366" s="118">
        <v>0</v>
      </c>
      <c r="O366" s="118">
        <f>M366+N366</f>
        <v>34250.25</v>
      </c>
      <c r="P366" s="219">
        <v>34250</v>
      </c>
      <c r="Q366" s="219">
        <v>34250</v>
      </c>
      <c r="R366" s="219">
        <v>34250</v>
      </c>
    </row>
    <row r="367" spans="1:21">
      <c r="A367" s="26" t="s">
        <v>2</v>
      </c>
      <c r="B367" s="33"/>
      <c r="C367" s="112">
        <v>699999</v>
      </c>
      <c r="D367" s="174" t="s">
        <v>129</v>
      </c>
      <c r="E367" s="66" t="s">
        <v>139</v>
      </c>
      <c r="F367" s="221">
        <f t="shared" ref="F367:N367" si="277">F365-F366</f>
        <v>16735.083333333489</v>
      </c>
      <c r="G367" s="255">
        <f t="shared" si="277"/>
        <v>-74992</v>
      </c>
      <c r="H367" s="194">
        <f t="shared" si="277"/>
        <v>105774</v>
      </c>
      <c r="I367" s="194">
        <f t="shared" si="277"/>
        <v>11506</v>
      </c>
      <c r="J367" s="194">
        <f t="shared" si="277"/>
        <v>0</v>
      </c>
      <c r="K367" s="194">
        <f t="shared" si="277"/>
        <v>11505.5</v>
      </c>
      <c r="L367" s="221">
        <f t="shared" si="277"/>
        <v>5806</v>
      </c>
      <c r="M367" s="221">
        <f t="shared" si="277"/>
        <v>-10159.959999999963</v>
      </c>
      <c r="N367" s="194">
        <f t="shared" si="277"/>
        <v>0</v>
      </c>
      <c r="O367" s="194">
        <f>M367+N367</f>
        <v>-10159.959999999963</v>
      </c>
      <c r="P367" s="221">
        <f>P365-P366</f>
        <v>11866</v>
      </c>
      <c r="Q367" s="221">
        <f>Q365-Q366</f>
        <v>62231</v>
      </c>
      <c r="R367" s="221">
        <f>R365-R366</f>
        <v>-364269</v>
      </c>
    </row>
    <row r="368" spans="1:21" collapsed="1">
      <c r="A368" s="26" t="s">
        <v>0</v>
      </c>
      <c r="B368" s="33"/>
      <c r="C368" s="112">
        <v>700000</v>
      </c>
      <c r="D368" s="174" t="s">
        <v>157</v>
      </c>
      <c r="E368" s="344"/>
      <c r="F368" s="228">
        <f t="shared" ref="F368:G368" si="278">F378</f>
        <v>3500</v>
      </c>
      <c r="G368" s="248">
        <f t="shared" si="278"/>
        <v>2540</v>
      </c>
      <c r="H368" s="73">
        <f t="shared" ref="H368:O368" si="279">H378</f>
        <v>2400</v>
      </c>
      <c r="I368" s="73">
        <f t="shared" si="279"/>
        <v>2875</v>
      </c>
      <c r="J368" s="73">
        <f t="shared" si="279"/>
        <v>0</v>
      </c>
      <c r="K368" s="73">
        <f t="shared" si="279"/>
        <v>2875</v>
      </c>
      <c r="L368" s="298">
        <f t="shared" si="279"/>
        <v>3000</v>
      </c>
      <c r="M368" s="298">
        <f t="shared" si="279"/>
        <v>3395</v>
      </c>
      <c r="N368" s="73">
        <f t="shared" si="279"/>
        <v>0</v>
      </c>
      <c r="O368" s="73">
        <f t="shared" si="279"/>
        <v>3395</v>
      </c>
      <c r="P368" s="298">
        <f t="shared" ref="P368:Q368" si="280">P378</f>
        <v>3300</v>
      </c>
      <c r="Q368" s="298">
        <f t="shared" si="280"/>
        <v>3000</v>
      </c>
      <c r="R368" s="298">
        <f t="shared" ref="R368" si="281">R378</f>
        <v>3300</v>
      </c>
    </row>
    <row r="369" spans="1:19" hidden="1" outlineLevel="1">
      <c r="A369" s="26" t="s">
        <v>136</v>
      </c>
      <c r="B369" s="36">
        <v>1500</v>
      </c>
      <c r="C369" s="90">
        <v>710001</v>
      </c>
      <c r="D369" s="11" t="s">
        <v>276</v>
      </c>
      <c r="F369" s="257">
        <v>0</v>
      </c>
      <c r="G369" s="246"/>
      <c r="H369" s="118"/>
      <c r="I369" s="5"/>
      <c r="J369" s="5"/>
      <c r="K369" s="5"/>
      <c r="L369" s="304"/>
      <c r="M369" s="304"/>
      <c r="N369" s="5"/>
      <c r="O369" s="5"/>
      <c r="P369" s="304"/>
      <c r="Q369" s="304"/>
      <c r="R369" s="304"/>
    </row>
    <row r="370" spans="1:19" hidden="1" outlineLevel="1">
      <c r="A370" s="26" t="s">
        <v>136</v>
      </c>
      <c r="B370" s="36">
        <v>1505</v>
      </c>
      <c r="C370" s="90">
        <v>710002</v>
      </c>
      <c r="D370" s="11" t="s">
        <v>277</v>
      </c>
      <c r="F370" s="257">
        <v>0</v>
      </c>
      <c r="G370" s="246"/>
      <c r="H370" s="118"/>
      <c r="I370" s="5"/>
      <c r="J370" s="5"/>
      <c r="K370" s="5"/>
      <c r="L370" s="304"/>
      <c r="M370" s="304"/>
      <c r="N370" s="5"/>
      <c r="O370" s="5"/>
      <c r="P370" s="304"/>
      <c r="Q370" s="304"/>
      <c r="R370" s="304"/>
    </row>
    <row r="371" spans="1:19" hidden="1" outlineLevel="1">
      <c r="A371" s="26" t="s">
        <v>136</v>
      </c>
      <c r="B371" s="36"/>
      <c r="C371" s="90">
        <v>710003</v>
      </c>
      <c r="D371" s="11" t="s">
        <v>278</v>
      </c>
      <c r="F371" s="257">
        <v>0</v>
      </c>
      <c r="G371" s="246"/>
      <c r="H371" s="118"/>
      <c r="I371" s="5"/>
      <c r="J371" s="5"/>
      <c r="K371" s="5"/>
      <c r="L371" s="304"/>
      <c r="M371" s="304"/>
      <c r="N371" s="5"/>
      <c r="O371" s="5"/>
      <c r="P371" s="304"/>
      <c r="Q371" s="304"/>
      <c r="R371" s="304"/>
    </row>
    <row r="372" spans="1:19" hidden="1" outlineLevel="1">
      <c r="A372" s="26" t="s">
        <v>136</v>
      </c>
      <c r="B372" s="36"/>
      <c r="C372" s="90">
        <v>710004</v>
      </c>
      <c r="D372" s="11" t="s">
        <v>279</v>
      </c>
      <c r="F372" s="257">
        <v>0</v>
      </c>
      <c r="G372" s="246"/>
      <c r="H372" s="118"/>
      <c r="I372" s="5"/>
      <c r="J372" s="5"/>
      <c r="K372" s="5"/>
      <c r="L372" s="304"/>
      <c r="M372" s="304"/>
      <c r="N372" s="5"/>
      <c r="O372" s="5"/>
      <c r="P372" s="304"/>
      <c r="Q372" s="304"/>
      <c r="R372" s="304"/>
    </row>
    <row r="373" spans="1:19" hidden="1" outlineLevel="1">
      <c r="A373" s="26" t="s">
        <v>136</v>
      </c>
      <c r="B373" s="36"/>
      <c r="C373" s="90">
        <v>710005</v>
      </c>
      <c r="D373" s="11" t="s">
        <v>280</v>
      </c>
      <c r="F373" s="257">
        <v>0</v>
      </c>
      <c r="G373" s="246"/>
      <c r="H373" s="118"/>
      <c r="I373" s="5"/>
      <c r="J373" s="5"/>
      <c r="K373" s="5"/>
      <c r="L373" s="304"/>
      <c r="M373" s="304"/>
      <c r="N373" s="5"/>
      <c r="O373" s="5"/>
      <c r="P373" s="304"/>
      <c r="Q373" s="304"/>
      <c r="R373" s="304"/>
    </row>
    <row r="374" spans="1:19" hidden="1" outlineLevel="1">
      <c r="A374" s="26" t="s">
        <v>136</v>
      </c>
      <c r="B374" s="36"/>
      <c r="C374" s="90">
        <v>720001</v>
      </c>
      <c r="D374" s="11" t="s">
        <v>281</v>
      </c>
      <c r="F374" s="257">
        <v>0</v>
      </c>
      <c r="G374" s="246"/>
      <c r="H374" s="118"/>
      <c r="I374" s="5"/>
      <c r="J374" s="5"/>
      <c r="K374" s="5"/>
      <c r="L374" s="304"/>
      <c r="M374" s="304"/>
      <c r="N374" s="5"/>
      <c r="O374" s="5"/>
      <c r="P374" s="304"/>
      <c r="Q374" s="304"/>
      <c r="R374" s="304"/>
    </row>
    <row r="375" spans="1:19" hidden="1" outlineLevel="1">
      <c r="A375" s="26" t="s">
        <v>136</v>
      </c>
      <c r="B375" s="36">
        <v>2015</v>
      </c>
      <c r="C375" s="90">
        <v>720003</v>
      </c>
      <c r="D375" s="11" t="s">
        <v>86</v>
      </c>
      <c r="F375" s="257">
        <v>3500</v>
      </c>
      <c r="G375" s="246">
        <v>2540</v>
      </c>
      <c r="H375" s="118">
        <v>2400</v>
      </c>
      <c r="I375" s="118">
        <v>2875</v>
      </c>
      <c r="J375" s="118"/>
      <c r="K375" s="118">
        <f>I375+J375</f>
        <v>2875</v>
      </c>
      <c r="L375" s="219">
        <v>3000</v>
      </c>
      <c r="M375" s="219">
        <v>3395</v>
      </c>
      <c r="N375" s="118"/>
      <c r="O375" s="118">
        <f>M375+N375</f>
        <v>3395</v>
      </c>
      <c r="P375" s="219">
        <v>3300</v>
      </c>
      <c r="Q375" s="219">
        <v>3000</v>
      </c>
      <c r="R375" s="219">
        <v>3300</v>
      </c>
    </row>
    <row r="376" spans="1:19" hidden="1" outlineLevel="1">
      <c r="A376" s="26" t="s">
        <v>136</v>
      </c>
      <c r="B376" s="36"/>
      <c r="C376" s="90">
        <v>720005</v>
      </c>
      <c r="D376" s="11" t="s">
        <v>282</v>
      </c>
      <c r="F376" s="257">
        <v>0</v>
      </c>
      <c r="G376" s="246"/>
      <c r="H376" s="118"/>
      <c r="I376" s="118"/>
      <c r="J376" s="118"/>
      <c r="K376" s="118"/>
      <c r="L376" s="304"/>
      <c r="M376" s="304"/>
      <c r="N376" s="5"/>
      <c r="O376" s="5"/>
      <c r="P376" s="304"/>
      <c r="Q376" s="304"/>
      <c r="R376" s="304"/>
    </row>
    <row r="377" spans="1:19" hidden="1" outlineLevel="1">
      <c r="A377" s="26" t="s">
        <v>136</v>
      </c>
      <c r="B377" s="36"/>
      <c r="C377" s="90">
        <v>720006</v>
      </c>
      <c r="D377" s="11" t="s">
        <v>283</v>
      </c>
      <c r="F377" s="301">
        <v>0</v>
      </c>
      <c r="G377" s="300"/>
      <c r="H377" s="178"/>
      <c r="I377" s="178"/>
      <c r="J377" s="178"/>
      <c r="K377" s="178"/>
      <c r="L377" s="305"/>
      <c r="M377" s="305"/>
      <c r="N377" s="293"/>
      <c r="O377" s="293"/>
      <c r="P377" s="305"/>
      <c r="Q377" s="305"/>
      <c r="R377" s="305"/>
    </row>
    <row r="378" spans="1:19" hidden="1" outlineLevel="1">
      <c r="A378" s="26" t="s">
        <v>2</v>
      </c>
      <c r="B378" s="36">
        <v>1519</v>
      </c>
      <c r="C378" s="112">
        <v>790009</v>
      </c>
      <c r="D378" s="10" t="s">
        <v>149</v>
      </c>
      <c r="F378" s="257">
        <f t="shared" ref="F378:G378" si="282">SUM(F369:F377)</f>
        <v>3500</v>
      </c>
      <c r="G378" s="251">
        <f t="shared" si="282"/>
        <v>2540</v>
      </c>
      <c r="H378" s="219">
        <f t="shared" ref="H378:N378" si="283">SUM(H369:H377)</f>
        <v>2400</v>
      </c>
      <c r="I378" s="118">
        <f t="shared" si="283"/>
        <v>2875</v>
      </c>
      <c r="J378" s="118">
        <f t="shared" si="283"/>
        <v>0</v>
      </c>
      <c r="K378" s="118">
        <f t="shared" si="283"/>
        <v>2875</v>
      </c>
      <c r="L378" s="219">
        <f t="shared" si="283"/>
        <v>3000</v>
      </c>
      <c r="M378" s="219">
        <f t="shared" si="283"/>
        <v>3395</v>
      </c>
      <c r="N378" s="118">
        <f t="shared" si="283"/>
        <v>0</v>
      </c>
      <c r="O378" s="118">
        <f>M378+N378</f>
        <v>3395</v>
      </c>
      <c r="P378" s="219">
        <f t="shared" ref="P378:Q378" si="284">SUM(P369:P377)</f>
        <v>3300</v>
      </c>
      <c r="Q378" s="219">
        <f t="shared" si="284"/>
        <v>3000</v>
      </c>
      <c r="R378" s="219">
        <f t="shared" ref="R378" si="285">SUM(R369:R377)</f>
        <v>3300</v>
      </c>
    </row>
    <row r="379" spans="1:19" ht="15" customHeight="1" thickBot="1">
      <c r="A379" s="26" t="s">
        <v>2</v>
      </c>
      <c r="B379" s="33"/>
      <c r="C379" s="112">
        <v>799999</v>
      </c>
      <c r="D379" s="174" t="s">
        <v>162</v>
      </c>
      <c r="E379" s="66" t="s">
        <v>139</v>
      </c>
      <c r="F379" s="224">
        <f t="shared" ref="F379:N379" si="286">F367-F378</f>
        <v>13235.083333333489</v>
      </c>
      <c r="G379" s="256">
        <f t="shared" si="286"/>
        <v>-77532</v>
      </c>
      <c r="H379" s="196">
        <f t="shared" si="286"/>
        <v>103374</v>
      </c>
      <c r="I379" s="196">
        <f t="shared" si="286"/>
        <v>8631</v>
      </c>
      <c r="J379" s="196">
        <f t="shared" si="286"/>
        <v>0</v>
      </c>
      <c r="K379" s="196">
        <f t="shared" si="286"/>
        <v>8630.5</v>
      </c>
      <c r="L379" s="224">
        <f t="shared" si="286"/>
        <v>2806</v>
      </c>
      <c r="M379" s="224">
        <f t="shared" si="286"/>
        <v>-13554.959999999963</v>
      </c>
      <c r="N379" s="196">
        <f t="shared" si="286"/>
        <v>0</v>
      </c>
      <c r="O379" s="196">
        <f>M379+N379</f>
        <v>-13554.959999999963</v>
      </c>
      <c r="P379" s="224">
        <f>P367-P378</f>
        <v>8566</v>
      </c>
      <c r="Q379" s="224">
        <f>Q367-Q378</f>
        <v>59231</v>
      </c>
      <c r="R379" s="224">
        <f>R367-R378</f>
        <v>-367569</v>
      </c>
      <c r="S379" s="5"/>
    </row>
    <row r="380" spans="1:19" ht="13.5" thickTop="1"/>
    <row r="381" spans="1:19" s="133" customFormat="1" ht="11.25">
      <c r="B381" s="357"/>
      <c r="C381" s="357"/>
      <c r="D381" s="357"/>
      <c r="E381" s="357" t="s">
        <v>462</v>
      </c>
      <c r="F381" s="358">
        <f>232204+F379</f>
        <v>245439.08333333349</v>
      </c>
      <c r="G381" s="358">
        <f>232204+G379</f>
        <v>154672</v>
      </c>
      <c r="H381" s="358"/>
      <c r="I381" s="358">
        <f>G381+I379</f>
        <v>163303</v>
      </c>
      <c r="K381" s="365">
        <f>G381+K379</f>
        <v>163302.5</v>
      </c>
      <c r="L381" s="365">
        <f>I381+L379</f>
        <v>166109</v>
      </c>
      <c r="M381" s="365"/>
      <c r="N381" s="365"/>
      <c r="O381" s="365">
        <f>K381+O379</f>
        <v>149747.54000000004</v>
      </c>
      <c r="P381" s="365">
        <f>O381+P379</f>
        <v>158313.54000000004</v>
      </c>
      <c r="Q381" s="365">
        <f>P381+Q379</f>
        <v>217544.54000000004</v>
      </c>
      <c r="R381" s="366">
        <f>Q381+R379</f>
        <v>-150024.45999999996</v>
      </c>
    </row>
  </sheetData>
  <mergeCells count="1">
    <mergeCell ref="E278:H278"/>
  </mergeCells>
  <conditionalFormatting sqref="F365">
    <cfRule type="cellIs" dxfId="71" priority="117" operator="lessThan">
      <formula>0</formula>
    </cfRule>
    <cfRule type="cellIs" dxfId="70" priority="118" operator="greaterThan">
      <formula>0</formula>
    </cfRule>
  </conditionalFormatting>
  <conditionalFormatting sqref="F367">
    <cfRule type="cellIs" dxfId="69" priority="115" operator="lessThan">
      <formula>0</formula>
    </cfRule>
    <cfRule type="cellIs" dxfId="68" priority="116" operator="greaterThan">
      <formula>0</formula>
    </cfRule>
  </conditionalFormatting>
  <conditionalFormatting sqref="F379">
    <cfRule type="cellIs" dxfId="67" priority="113" operator="lessThan">
      <formula>0</formula>
    </cfRule>
    <cfRule type="cellIs" dxfId="66" priority="114" operator="greaterThan">
      <formula>0</formula>
    </cfRule>
  </conditionalFormatting>
  <conditionalFormatting sqref="G365">
    <cfRule type="cellIs" dxfId="65" priority="77" operator="lessThan">
      <formula>0</formula>
    </cfRule>
    <cfRule type="cellIs" dxfId="64" priority="78" operator="greaterThan">
      <formula>0</formula>
    </cfRule>
  </conditionalFormatting>
  <conditionalFormatting sqref="G367">
    <cfRule type="cellIs" dxfId="63" priority="75" operator="lessThan">
      <formula>0</formula>
    </cfRule>
    <cfRule type="cellIs" dxfId="62" priority="76" operator="greaterThan">
      <formula>0</formula>
    </cfRule>
  </conditionalFormatting>
  <conditionalFormatting sqref="G379">
    <cfRule type="cellIs" dxfId="61" priority="73" operator="lessThan">
      <formula>0</formula>
    </cfRule>
    <cfRule type="cellIs" dxfId="60" priority="74" operator="greaterThan">
      <formula>0</formula>
    </cfRule>
  </conditionalFormatting>
  <conditionalFormatting sqref="H367">
    <cfRule type="cellIs" dxfId="59" priority="49" operator="lessThan">
      <formula>0</formula>
    </cfRule>
    <cfRule type="cellIs" dxfId="58" priority="50" operator="greaterThan">
      <formula>0</formula>
    </cfRule>
  </conditionalFormatting>
  <conditionalFormatting sqref="H379">
    <cfRule type="cellIs" dxfId="57" priority="47" operator="lessThan">
      <formula>0</formula>
    </cfRule>
    <cfRule type="cellIs" dxfId="56" priority="48" operator="greaterThan">
      <formula>0</formula>
    </cfRule>
  </conditionalFormatting>
  <conditionalFormatting sqref="H365">
    <cfRule type="cellIs" dxfId="55" priority="45" operator="lessThan">
      <formula>0</formula>
    </cfRule>
    <cfRule type="cellIs" dxfId="54" priority="46" operator="greaterThan">
      <formula>0</formula>
    </cfRule>
  </conditionalFormatting>
  <conditionalFormatting sqref="I365">
    <cfRule type="cellIs" dxfId="53" priority="43" operator="lessThan">
      <formula>0</formula>
    </cfRule>
    <cfRule type="cellIs" dxfId="52" priority="44" operator="greaterThan">
      <formula>0</formula>
    </cfRule>
  </conditionalFormatting>
  <conditionalFormatting sqref="J365">
    <cfRule type="cellIs" dxfId="51" priority="41" operator="lessThan">
      <formula>0</formula>
    </cfRule>
    <cfRule type="cellIs" dxfId="50" priority="42" operator="greaterThan">
      <formula>0</formula>
    </cfRule>
  </conditionalFormatting>
  <conditionalFormatting sqref="K365">
    <cfRule type="cellIs" dxfId="49" priority="39" operator="lessThan">
      <formula>0</formula>
    </cfRule>
    <cfRule type="cellIs" dxfId="48" priority="40" operator="greaterThan">
      <formula>0</formula>
    </cfRule>
  </conditionalFormatting>
  <conditionalFormatting sqref="I379">
    <cfRule type="cellIs" dxfId="47" priority="37" operator="lessThan">
      <formula>0</formula>
    </cfRule>
    <cfRule type="cellIs" dxfId="46" priority="38" operator="greaterThan">
      <formula>0</formula>
    </cfRule>
  </conditionalFormatting>
  <conditionalFormatting sqref="J379">
    <cfRule type="cellIs" dxfId="45" priority="35" operator="lessThan">
      <formula>0</formula>
    </cfRule>
    <cfRule type="cellIs" dxfId="44" priority="36" operator="greaterThan">
      <formula>0</formula>
    </cfRule>
  </conditionalFormatting>
  <conditionalFormatting sqref="K379">
    <cfRule type="cellIs" dxfId="43" priority="33" operator="lessThan">
      <formula>0</formula>
    </cfRule>
    <cfRule type="cellIs" dxfId="42" priority="34" operator="greaterThan">
      <formula>0</formula>
    </cfRule>
  </conditionalFormatting>
  <conditionalFormatting sqref="I367">
    <cfRule type="cellIs" dxfId="41" priority="31" operator="lessThan">
      <formula>0</formula>
    </cfRule>
    <cfRule type="cellIs" dxfId="40" priority="32" operator="greaterThan">
      <formula>0</formula>
    </cfRule>
  </conditionalFormatting>
  <conditionalFormatting sqref="J367">
    <cfRule type="cellIs" dxfId="39" priority="29" operator="lessThan">
      <formula>0</formula>
    </cfRule>
    <cfRule type="cellIs" dxfId="38" priority="30" operator="greaterThan">
      <formula>0</formula>
    </cfRule>
  </conditionalFormatting>
  <conditionalFormatting sqref="K367">
    <cfRule type="cellIs" dxfId="37" priority="27" operator="lessThan">
      <formula>0</formula>
    </cfRule>
    <cfRule type="cellIs" dxfId="36" priority="28" operator="greaterThan">
      <formula>0</formula>
    </cfRule>
  </conditionalFormatting>
  <conditionalFormatting sqref="L367:O367">
    <cfRule type="cellIs" dxfId="35" priority="25" operator="lessThan">
      <formula>0</formula>
    </cfRule>
    <cfRule type="cellIs" dxfId="34" priority="26" operator="greaterThan">
      <formula>0</formula>
    </cfRule>
  </conditionalFormatting>
  <conditionalFormatting sqref="L379:O379">
    <cfRule type="cellIs" dxfId="33" priority="21" operator="lessThan">
      <formula>0</formula>
    </cfRule>
    <cfRule type="cellIs" dxfId="32" priority="22" operator="greaterThan">
      <formula>0</formula>
    </cfRule>
  </conditionalFormatting>
  <conditionalFormatting sqref="L365:O365">
    <cfRule type="cellIs" dxfId="31" priority="19" operator="lessThan">
      <formula>0</formula>
    </cfRule>
    <cfRule type="cellIs" dxfId="30" priority="20" operator="greaterThan">
      <formula>0</formula>
    </cfRule>
  </conditionalFormatting>
  <conditionalFormatting sqref="P367">
    <cfRule type="cellIs" dxfId="29" priority="17" operator="lessThan">
      <formula>0</formula>
    </cfRule>
    <cfRule type="cellIs" dxfId="28" priority="18" operator="greaterThan">
      <formula>0</formula>
    </cfRule>
  </conditionalFormatting>
  <conditionalFormatting sqref="P379">
    <cfRule type="cellIs" dxfId="27" priority="15" operator="lessThan">
      <formula>0</formula>
    </cfRule>
    <cfRule type="cellIs" dxfId="26" priority="16" operator="greaterThan">
      <formula>0</formula>
    </cfRule>
  </conditionalFormatting>
  <conditionalFormatting sqref="P365">
    <cfRule type="cellIs" dxfId="25" priority="13" operator="lessThan">
      <formula>0</formula>
    </cfRule>
    <cfRule type="cellIs" dxfId="24" priority="14" operator="greaterThan">
      <formula>0</formula>
    </cfRule>
  </conditionalFormatting>
  <conditionalFormatting sqref="Q367">
    <cfRule type="cellIs" dxfId="23" priority="11" operator="lessThan">
      <formula>0</formula>
    </cfRule>
    <cfRule type="cellIs" dxfId="22" priority="12" operator="greaterThan">
      <formula>0</formula>
    </cfRule>
  </conditionalFormatting>
  <conditionalFormatting sqref="Q379">
    <cfRule type="cellIs" dxfId="21" priority="9" operator="lessThan">
      <formula>0</formula>
    </cfRule>
    <cfRule type="cellIs" dxfId="20" priority="10" operator="greaterThan">
      <formula>0</formula>
    </cfRule>
  </conditionalFormatting>
  <conditionalFormatting sqref="Q365">
    <cfRule type="cellIs" dxfId="19" priority="7" operator="lessThan">
      <formula>0</formula>
    </cfRule>
    <cfRule type="cellIs" dxfId="18" priority="8" operator="greaterThan">
      <formula>0</formula>
    </cfRule>
  </conditionalFormatting>
  <conditionalFormatting sqref="R367">
    <cfRule type="cellIs" dxfId="17" priority="5" operator="lessThan">
      <formula>0</formula>
    </cfRule>
    <cfRule type="cellIs" dxfId="16" priority="6" operator="greaterThan">
      <formula>0</formula>
    </cfRule>
  </conditionalFormatting>
  <conditionalFormatting sqref="R379">
    <cfRule type="cellIs" dxfId="15" priority="3" operator="lessThan">
      <formula>0</formula>
    </cfRule>
    <cfRule type="cellIs" dxfId="14" priority="4" operator="greaterThan">
      <formula>0</formula>
    </cfRule>
  </conditionalFormatting>
  <conditionalFormatting sqref="R365">
    <cfRule type="cellIs" dxfId="13" priority="1" operator="lessThan">
      <formula>0</formula>
    </cfRule>
    <cfRule type="cellIs" dxfId="12" priority="2" operator="greaterThan">
      <formula>0</formula>
    </cfRule>
  </conditionalFormatting>
  <hyperlinks>
    <hyperlink ref="E334" location="'2018-elite'!F13" display="Link" xr:uid="{00000000-0004-0000-0000-000000000000}"/>
    <hyperlink ref="E335" location="'2018-elite'!F24" display="Link" xr:uid="{00000000-0004-0000-0000-000001000000}"/>
    <hyperlink ref="E337" location="'2018-elite'!F36" display="Link" xr:uid="{00000000-0004-0000-0000-000002000000}"/>
    <hyperlink ref="E333" location="'2018-elite'!F50" display="Link" xr:uid="{00000000-0004-0000-0000-000003000000}"/>
  </hyperlinks>
  <pageMargins left="0.39370078740157483" right="0.39370078740157483" top="0.59055118110236227" bottom="0.59055118110236227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1:I62"/>
  <sheetViews>
    <sheetView topLeftCell="A10" workbookViewId="0">
      <selection activeCell="F36" sqref="F36"/>
    </sheetView>
  </sheetViews>
  <sheetFormatPr defaultColWidth="9.28515625" defaultRowHeight="15"/>
  <cols>
    <col min="1" max="1" width="44" style="3" customWidth="1"/>
    <col min="2" max="2" width="8.42578125" style="3" customWidth="1"/>
    <col min="3" max="3" width="9" style="3" customWidth="1"/>
    <col min="4" max="4" width="8" customWidth="1"/>
    <col min="5" max="5" width="8.28515625" customWidth="1"/>
    <col min="6" max="6" width="9" customWidth="1"/>
    <col min="7" max="7" width="5.7109375" customWidth="1"/>
    <col min="8" max="8" width="66.28515625" hidden="1" customWidth="1"/>
  </cols>
  <sheetData>
    <row r="1" spans="1:9" ht="18.75">
      <c r="A1" s="260"/>
      <c r="B1" s="260" t="s">
        <v>464</v>
      </c>
      <c r="C1" s="261"/>
      <c r="D1" s="262"/>
      <c r="E1" s="262"/>
      <c r="F1" s="262"/>
    </row>
    <row r="2" spans="1:9" ht="5.25" customHeight="1">
      <c r="A2" s="260"/>
      <c r="B2" s="260"/>
      <c r="C2" s="261"/>
      <c r="D2" s="262"/>
      <c r="E2" s="262"/>
      <c r="F2" s="262"/>
    </row>
    <row r="3" spans="1:9">
      <c r="A3" s="263"/>
      <c r="B3" s="263"/>
      <c r="D3" s="263"/>
      <c r="F3" s="472" t="s">
        <v>371</v>
      </c>
    </row>
    <row r="4" spans="1:9" ht="15.75">
      <c r="A4" s="264"/>
      <c r="B4" s="264"/>
      <c r="D4" s="265"/>
      <c r="E4" s="265"/>
      <c r="F4" s="472"/>
    </row>
    <row r="5" spans="1:9" ht="15.75" thickBot="1">
      <c r="A5" s="266" t="s">
        <v>372</v>
      </c>
      <c r="B5" s="266"/>
      <c r="C5" s="267"/>
      <c r="D5" s="268"/>
      <c r="E5" s="268"/>
      <c r="F5" s="275">
        <f>SUM(F6:F7)</f>
        <v>280000</v>
      </c>
      <c r="G5" s="8"/>
      <c r="I5" s="377"/>
    </row>
    <row r="6" spans="1:9">
      <c r="A6" s="269" t="s">
        <v>384</v>
      </c>
      <c r="B6" s="269"/>
      <c r="C6" s="11"/>
      <c r="D6" s="270"/>
      <c r="E6" s="271"/>
      <c r="F6" s="271">
        <v>180000</v>
      </c>
      <c r="G6" s="285"/>
      <c r="H6" s="11" t="s">
        <v>465</v>
      </c>
    </row>
    <row r="7" spans="1:9">
      <c r="A7" s="269" t="s">
        <v>466</v>
      </c>
      <c r="B7" s="269"/>
      <c r="C7" s="11"/>
      <c r="D7" s="270"/>
      <c r="E7" s="371"/>
      <c r="F7" s="272">
        <v>100000</v>
      </c>
      <c r="G7" s="285"/>
      <c r="H7" s="11" t="s">
        <v>467</v>
      </c>
    </row>
    <row r="8" spans="1:9">
      <c r="A8" s="360" t="s">
        <v>468</v>
      </c>
      <c r="B8" s="269"/>
      <c r="C8" s="11"/>
      <c r="D8" s="270">
        <v>62500</v>
      </c>
      <c r="E8" s="371"/>
      <c r="F8" s="272"/>
      <c r="G8" s="285"/>
      <c r="H8" s="11" t="s">
        <v>485</v>
      </c>
    </row>
    <row r="9" spans="1:9">
      <c r="A9" s="360" t="s">
        <v>469</v>
      </c>
      <c r="B9" s="269"/>
      <c r="C9" s="11"/>
      <c r="D9" s="270">
        <v>37500</v>
      </c>
      <c r="E9" s="371"/>
      <c r="F9" s="272"/>
      <c r="G9" s="285"/>
      <c r="H9" s="11" t="s">
        <v>486</v>
      </c>
    </row>
    <row r="10" spans="1:9" ht="8.25" customHeight="1">
      <c r="A10" s="263"/>
      <c r="B10" s="263"/>
      <c r="D10" s="273"/>
      <c r="E10" s="273"/>
      <c r="F10" s="274"/>
      <c r="G10" s="8"/>
    </row>
    <row r="11" spans="1:9" ht="15.75" thickBot="1">
      <c r="A11" s="266" t="s">
        <v>373</v>
      </c>
      <c r="B11" s="266"/>
      <c r="C11" s="267"/>
      <c r="D11" s="268"/>
      <c r="E11" s="268"/>
      <c r="F11" s="275">
        <f>F13+F24+F36</f>
        <v>194969.4</v>
      </c>
      <c r="G11" s="8"/>
    </row>
    <row r="12" spans="1:9" ht="14.25" customHeight="1">
      <c r="A12" s="276"/>
      <c r="B12" s="276"/>
      <c r="C12" s="476" t="s">
        <v>497</v>
      </c>
      <c r="D12" s="476" t="s">
        <v>375</v>
      </c>
      <c r="E12" s="476" t="s">
        <v>376</v>
      </c>
      <c r="F12" s="277"/>
      <c r="G12" s="8"/>
    </row>
    <row r="13" spans="1:9" s="11" customFormat="1" ht="12">
      <c r="A13" s="278" t="s">
        <v>470</v>
      </c>
      <c r="B13" s="279" t="s">
        <v>374</v>
      </c>
      <c r="C13" s="477"/>
      <c r="D13" s="477"/>
      <c r="E13" s="477"/>
      <c r="F13" s="280">
        <f>SUM(F14:F22)</f>
        <v>39836.400000000001</v>
      </c>
      <c r="G13" s="285"/>
      <c r="H13" s="56" t="s">
        <v>488</v>
      </c>
      <c r="I13" s="377">
        <v>520332</v>
      </c>
    </row>
    <row r="14" spans="1:9" s="11" customFormat="1" ht="12">
      <c r="A14" s="269" t="s">
        <v>377</v>
      </c>
      <c r="B14" s="270">
        <v>2000</v>
      </c>
      <c r="C14" s="270">
        <f>20*7.5</f>
        <v>150</v>
      </c>
      <c r="D14" s="363">
        <v>2500</v>
      </c>
      <c r="E14" s="270">
        <f>8*498*0.85</f>
        <v>3386.4</v>
      </c>
      <c r="F14" s="271">
        <f>SUM(B14:E14)</f>
        <v>8036.4</v>
      </c>
      <c r="G14" s="285"/>
      <c r="H14" s="11" t="s">
        <v>471</v>
      </c>
      <c r="I14" s="361"/>
    </row>
    <row r="15" spans="1:9" s="11" customFormat="1" ht="12">
      <c r="A15" s="269" t="s">
        <v>472</v>
      </c>
      <c r="B15" s="270">
        <v>2000</v>
      </c>
      <c r="C15" s="270">
        <f>20*7.5</f>
        <v>150</v>
      </c>
      <c r="D15" s="270">
        <v>2000</v>
      </c>
      <c r="E15" s="270">
        <v>0</v>
      </c>
      <c r="F15" s="271">
        <f>SUM(B15:E15)</f>
        <v>4150</v>
      </c>
      <c r="G15" s="285"/>
      <c r="I15" s="361"/>
    </row>
    <row r="16" spans="1:9" s="11" customFormat="1" ht="12">
      <c r="A16" s="269" t="s">
        <v>473</v>
      </c>
      <c r="B16" s="270">
        <v>2000</v>
      </c>
      <c r="C16" s="270">
        <f>20*7.5</f>
        <v>150</v>
      </c>
      <c r="D16" s="270">
        <v>2000</v>
      </c>
      <c r="E16" s="270">
        <v>0</v>
      </c>
      <c r="F16" s="271">
        <f>SUM(B16:E16)</f>
        <v>4150</v>
      </c>
      <c r="G16" s="285"/>
      <c r="I16" s="361"/>
    </row>
    <row r="17" spans="1:9" s="11" customFormat="1" ht="12">
      <c r="A17" s="269" t="s">
        <v>378</v>
      </c>
      <c r="B17" s="269">
        <v>0</v>
      </c>
      <c r="C17" s="270">
        <f>4*20*7.5</f>
        <v>600</v>
      </c>
      <c r="D17" s="270">
        <v>8000</v>
      </c>
      <c r="E17" s="270">
        <v>0</v>
      </c>
      <c r="F17" s="271">
        <f>SUM(B17:E17)</f>
        <v>8600</v>
      </c>
      <c r="G17" s="285"/>
      <c r="H17" s="11" t="s">
        <v>474</v>
      </c>
    </row>
    <row r="18" spans="1:9" s="11" customFormat="1" ht="12">
      <c r="A18" s="269" t="s">
        <v>379</v>
      </c>
      <c r="B18" s="269">
        <v>0</v>
      </c>
      <c r="C18" s="270">
        <f>4*20*7.5</f>
        <v>600</v>
      </c>
      <c r="D18" s="270">
        <v>8000</v>
      </c>
      <c r="E18" s="270">
        <v>0</v>
      </c>
      <c r="F18" s="271">
        <f>SUM(B18:E18)</f>
        <v>8600</v>
      </c>
      <c r="G18" s="285"/>
      <c r="H18" s="11" t="s">
        <v>474</v>
      </c>
    </row>
    <row r="19" spans="1:9" s="11" customFormat="1" ht="12">
      <c r="A19" s="269" t="s">
        <v>554</v>
      </c>
      <c r="B19" s="269"/>
      <c r="C19" s="270"/>
      <c r="D19" s="270"/>
      <c r="E19" s="270"/>
      <c r="F19" s="271">
        <f>8*70*7.5</f>
        <v>4200</v>
      </c>
      <c r="G19" s="285"/>
    </row>
    <row r="20" spans="1:9" s="11" customFormat="1" ht="12">
      <c r="A20" s="269" t="s">
        <v>551</v>
      </c>
      <c r="B20" s="269"/>
      <c r="C20" s="270"/>
      <c r="D20" s="270"/>
      <c r="E20" s="270"/>
      <c r="F20" s="271">
        <v>0</v>
      </c>
      <c r="G20" s="285"/>
    </row>
    <row r="21" spans="1:9" s="11" customFormat="1" ht="12">
      <c r="A21" s="269" t="s">
        <v>552</v>
      </c>
      <c r="B21" s="269"/>
      <c r="C21" s="270"/>
      <c r="D21" s="270"/>
      <c r="E21" s="270"/>
      <c r="F21" s="271">
        <f>140*7.5</f>
        <v>1050</v>
      </c>
      <c r="G21" s="285"/>
    </row>
    <row r="22" spans="1:9" s="11" customFormat="1" ht="12">
      <c r="A22" s="269" t="s">
        <v>553</v>
      </c>
      <c r="B22" s="269"/>
      <c r="C22" s="270"/>
      <c r="D22" s="270"/>
      <c r="E22" s="270"/>
      <c r="F22" s="271">
        <f>140*7.5</f>
        <v>1050</v>
      </c>
      <c r="G22" s="285"/>
    </row>
    <row r="23" spans="1:9" s="11" customFormat="1" ht="15" customHeight="1">
      <c r="A23" s="269"/>
      <c r="B23" s="269"/>
      <c r="C23" s="478" t="s">
        <v>497</v>
      </c>
      <c r="D23" s="473" t="s">
        <v>496</v>
      </c>
      <c r="E23" s="478" t="s">
        <v>376</v>
      </c>
      <c r="F23" s="68"/>
      <c r="G23" s="285"/>
    </row>
    <row r="24" spans="1:9" s="11" customFormat="1" ht="12">
      <c r="A24" s="278" t="s">
        <v>550</v>
      </c>
      <c r="B24" s="279" t="s">
        <v>374</v>
      </c>
      <c r="C24" s="477"/>
      <c r="D24" s="474"/>
      <c r="E24" s="477"/>
      <c r="F24" s="280">
        <f>SUM(F25:F33)</f>
        <v>55333</v>
      </c>
      <c r="G24" s="285"/>
      <c r="H24" s="11" t="s">
        <v>487</v>
      </c>
      <c r="I24" s="377">
        <v>520334</v>
      </c>
    </row>
    <row r="25" spans="1:9" s="11" customFormat="1" ht="12">
      <c r="A25" s="269" t="s">
        <v>377</v>
      </c>
      <c r="B25" s="270">
        <v>6000</v>
      </c>
      <c r="C25" s="363">
        <v>300</v>
      </c>
      <c r="D25" s="363">
        <v>5000</v>
      </c>
      <c r="E25" s="270">
        <f>10*498*0.85</f>
        <v>4233</v>
      </c>
      <c r="F25" s="271">
        <f>SUM(B25:E25)</f>
        <v>15533</v>
      </c>
      <c r="G25" s="285"/>
      <c r="H25" s="11" t="s">
        <v>471</v>
      </c>
      <c r="I25" s="361"/>
    </row>
    <row r="26" spans="1:9" s="11" customFormat="1" ht="12">
      <c r="A26" s="269" t="s">
        <v>475</v>
      </c>
      <c r="B26" s="270">
        <v>5000</v>
      </c>
      <c r="C26" s="363">
        <v>300</v>
      </c>
      <c r="D26" s="363">
        <v>2500</v>
      </c>
      <c r="E26" s="270">
        <v>0</v>
      </c>
      <c r="F26" s="271">
        <f>SUM(B26:E26)</f>
        <v>7800</v>
      </c>
      <c r="G26" s="285"/>
      <c r="I26" s="361"/>
    </row>
    <row r="27" spans="1:9" s="11" customFormat="1" ht="12">
      <c r="A27" s="269" t="s">
        <v>476</v>
      </c>
      <c r="B27" s="270">
        <v>5000</v>
      </c>
      <c r="C27" s="363">
        <v>300</v>
      </c>
      <c r="D27" s="363">
        <v>2500</v>
      </c>
      <c r="E27" s="270">
        <v>0</v>
      </c>
      <c r="F27" s="271">
        <f>SUM(B27:E27)</f>
        <v>7800</v>
      </c>
      <c r="G27" s="285"/>
    </row>
    <row r="28" spans="1:9" s="11" customFormat="1" ht="12">
      <c r="A28" s="269" t="s">
        <v>378</v>
      </c>
      <c r="B28" s="270">
        <v>0</v>
      </c>
      <c r="C28" s="270">
        <f>4*35*7.5</f>
        <v>1050</v>
      </c>
      <c r="D28" s="270">
        <v>10000</v>
      </c>
      <c r="E28" s="270">
        <v>0</v>
      </c>
      <c r="F28" s="271">
        <f>SUM(B28:E28)</f>
        <v>11050</v>
      </c>
      <c r="G28" s="285"/>
      <c r="H28" s="11" t="s">
        <v>474</v>
      </c>
    </row>
    <row r="29" spans="1:9" s="11" customFormat="1" ht="12">
      <c r="A29" s="269" t="s">
        <v>379</v>
      </c>
      <c r="B29" s="269">
        <v>0</v>
      </c>
      <c r="C29" s="270">
        <f>4*35*7.5</f>
        <v>1050</v>
      </c>
      <c r="D29" s="270">
        <v>10000</v>
      </c>
      <c r="E29" s="270">
        <v>0</v>
      </c>
      <c r="F29" s="271">
        <f>SUM(B29:E29)</f>
        <v>11050</v>
      </c>
      <c r="G29" s="285"/>
      <c r="H29" s="11" t="s">
        <v>474</v>
      </c>
    </row>
    <row r="30" spans="1:9" s="11" customFormat="1" ht="12">
      <c r="A30" s="269" t="s">
        <v>554</v>
      </c>
      <c r="B30" s="269"/>
      <c r="C30" s="270"/>
      <c r="D30" s="270"/>
      <c r="E30" s="270"/>
      <c r="F30" s="372">
        <v>0</v>
      </c>
      <c r="G30" s="285"/>
    </row>
    <row r="31" spans="1:9" s="11" customFormat="1" ht="12">
      <c r="A31" s="269" t="s">
        <v>551</v>
      </c>
      <c r="B31" s="269"/>
      <c r="C31" s="270"/>
      <c r="D31" s="270"/>
      <c r="E31" s="270"/>
      <c r="F31" s="271">
        <v>0</v>
      </c>
      <c r="G31" s="285"/>
      <c r="H31" s="11" t="s">
        <v>477</v>
      </c>
    </row>
    <row r="32" spans="1:9" s="11" customFormat="1" ht="12">
      <c r="A32" s="269" t="s">
        <v>552</v>
      </c>
      <c r="B32" s="269"/>
      <c r="C32" s="270"/>
      <c r="D32" s="270"/>
      <c r="E32" s="270"/>
      <c r="F32" s="271">
        <f>140*7.5</f>
        <v>1050</v>
      </c>
      <c r="G32" s="285"/>
    </row>
    <row r="33" spans="1:9" s="11" customFormat="1" ht="12">
      <c r="A33" s="269" t="s">
        <v>553</v>
      </c>
      <c r="B33" s="269"/>
      <c r="C33" s="270"/>
      <c r="D33" s="270"/>
      <c r="E33" s="270"/>
      <c r="F33" s="271">
        <f>140*7.5</f>
        <v>1050</v>
      </c>
      <c r="G33" s="285"/>
    </row>
    <row r="34" spans="1:9" s="11" customFormat="1" ht="12">
      <c r="A34" s="281"/>
      <c r="B34" s="281"/>
      <c r="F34" s="282"/>
      <c r="G34" s="285"/>
    </row>
    <row r="35" spans="1:9" s="11" customFormat="1" ht="12">
      <c r="A35" s="269"/>
      <c r="B35" s="475" t="s">
        <v>380</v>
      </c>
      <c r="C35" s="475"/>
      <c r="D35" s="283" t="s">
        <v>381</v>
      </c>
      <c r="E35" s="283" t="s">
        <v>382</v>
      </c>
      <c r="G35" s="285"/>
    </row>
    <row r="36" spans="1:9" s="11" customFormat="1" ht="12">
      <c r="A36" s="278" t="s">
        <v>383</v>
      </c>
      <c r="B36" s="284" t="s">
        <v>384</v>
      </c>
      <c r="C36" s="284" t="s">
        <v>385</v>
      </c>
      <c r="D36" s="279" t="s">
        <v>386</v>
      </c>
      <c r="E36" s="279" t="s">
        <v>387</v>
      </c>
      <c r="F36" s="280">
        <f>SUM(F37:F47)</f>
        <v>99800</v>
      </c>
      <c r="G36" s="285"/>
      <c r="I36" s="377">
        <v>520338</v>
      </c>
    </row>
    <row r="37" spans="1:9" s="11" customFormat="1" ht="12">
      <c r="A37" s="269" t="s">
        <v>388</v>
      </c>
      <c r="B37" s="363">
        <v>3500</v>
      </c>
      <c r="C37" s="285">
        <v>5000</v>
      </c>
      <c r="D37" s="270">
        <v>3000</v>
      </c>
      <c r="E37" s="11">
        <v>0</v>
      </c>
      <c r="F37" s="285">
        <f>SUM(B37:E37)</f>
        <v>11500</v>
      </c>
      <c r="G37" s="285"/>
    </row>
    <row r="38" spans="1:9" s="11" customFormat="1" ht="12">
      <c r="A38" s="269" t="s">
        <v>389</v>
      </c>
      <c r="B38" s="270">
        <v>0</v>
      </c>
      <c r="C38" s="285">
        <v>8000</v>
      </c>
      <c r="D38" s="270">
        <v>3000</v>
      </c>
      <c r="E38" s="11">
        <v>0</v>
      </c>
      <c r="F38" s="285">
        <f>SUM(B38:E38)</f>
        <v>11000</v>
      </c>
      <c r="G38" s="285"/>
    </row>
    <row r="39" spans="1:9" s="11" customFormat="1" ht="12">
      <c r="A39" s="269" t="s">
        <v>390</v>
      </c>
      <c r="B39" s="270">
        <v>3000</v>
      </c>
      <c r="C39" s="285">
        <v>5000</v>
      </c>
      <c r="D39" s="270">
        <v>3000</v>
      </c>
      <c r="E39" s="270">
        <v>0</v>
      </c>
      <c r="F39" s="285">
        <f>SUM(B39:E39)</f>
        <v>11000</v>
      </c>
      <c r="G39" s="285"/>
    </row>
    <row r="40" spans="1:9" s="11" customFormat="1" ht="12">
      <c r="A40" s="286" t="s">
        <v>391</v>
      </c>
      <c r="B40" s="270">
        <v>4300</v>
      </c>
      <c r="C40" s="270">
        <v>5000</v>
      </c>
      <c r="D40" s="270">
        <v>3000</v>
      </c>
      <c r="E40" s="270">
        <v>0</v>
      </c>
      <c r="F40" s="285">
        <f>SUM(B40:E40)</f>
        <v>12300</v>
      </c>
      <c r="G40" s="285"/>
    </row>
    <row r="41" spans="1:9" s="11" customFormat="1" ht="12">
      <c r="A41" s="286" t="s">
        <v>478</v>
      </c>
      <c r="B41" s="270">
        <v>0</v>
      </c>
      <c r="C41" s="270">
        <v>5000</v>
      </c>
      <c r="D41" s="270">
        <v>3000</v>
      </c>
      <c r="E41" s="270">
        <v>0</v>
      </c>
      <c r="F41" s="285">
        <f>SUM(B41:E41)</f>
        <v>8000</v>
      </c>
      <c r="G41" s="285"/>
    </row>
    <row r="42" spans="1:9" s="11" customFormat="1" ht="12">
      <c r="A42" s="286"/>
      <c r="B42" s="269"/>
      <c r="D42" s="270"/>
      <c r="E42" s="270"/>
      <c r="F42" s="285"/>
      <c r="G42" s="285"/>
    </row>
    <row r="43" spans="1:9" s="11" customFormat="1" ht="12">
      <c r="A43" s="269" t="s">
        <v>392</v>
      </c>
      <c r="B43" s="269">
        <v>0</v>
      </c>
      <c r="C43" s="285">
        <v>5000</v>
      </c>
      <c r="D43" s="270">
        <v>3000</v>
      </c>
      <c r="E43" s="270">
        <v>0</v>
      </c>
      <c r="F43" s="285">
        <f>SUM(B43:E43)</f>
        <v>8000</v>
      </c>
      <c r="G43" s="285"/>
    </row>
    <row r="44" spans="1:9" s="11" customFormat="1" ht="12">
      <c r="A44" s="269" t="s">
        <v>393</v>
      </c>
      <c r="B44" s="269">
        <v>3000</v>
      </c>
      <c r="C44" s="285">
        <v>5000</v>
      </c>
      <c r="D44" s="270">
        <v>3000</v>
      </c>
      <c r="E44" s="270">
        <v>0</v>
      </c>
      <c r="F44" s="285">
        <f>SUM(B44:E44)</f>
        <v>11000</v>
      </c>
      <c r="G44" s="285"/>
    </row>
    <row r="45" spans="1:9" s="11" customFormat="1" ht="12">
      <c r="A45" s="269" t="s">
        <v>394</v>
      </c>
      <c r="B45" s="269">
        <v>0</v>
      </c>
      <c r="C45" s="372">
        <v>5000</v>
      </c>
      <c r="D45" s="270">
        <v>3000</v>
      </c>
      <c r="E45" s="270">
        <v>0</v>
      </c>
      <c r="F45" s="285">
        <f>SUM(B45:E45)</f>
        <v>8000</v>
      </c>
      <c r="G45" s="285"/>
    </row>
    <row r="46" spans="1:9" s="11" customFormat="1" ht="12">
      <c r="A46" s="286" t="s">
        <v>395</v>
      </c>
      <c r="B46" s="269">
        <v>0</v>
      </c>
      <c r="C46" s="372">
        <v>5000</v>
      </c>
      <c r="D46" s="285">
        <v>3000</v>
      </c>
      <c r="E46" s="270">
        <v>0</v>
      </c>
      <c r="F46" s="285">
        <f>SUM(B46:E46)</f>
        <v>8000</v>
      </c>
      <c r="G46" s="285"/>
    </row>
    <row r="47" spans="1:9" s="11" customFormat="1" ht="12">
      <c r="A47" s="286" t="s">
        <v>396</v>
      </c>
      <c r="B47" s="269">
        <v>0</v>
      </c>
      <c r="C47" s="285">
        <v>8000</v>
      </c>
      <c r="D47" s="285">
        <v>3000</v>
      </c>
      <c r="E47" s="270">
        <v>0</v>
      </c>
      <c r="F47" s="285">
        <f>SUM(B47:E47)</f>
        <v>11000</v>
      </c>
      <c r="G47" s="285"/>
    </row>
    <row r="48" spans="1:9" s="11" customFormat="1" ht="12">
      <c r="A48" s="286"/>
      <c r="B48" s="269"/>
      <c r="D48" s="270"/>
      <c r="E48" s="270"/>
      <c r="F48" s="285"/>
      <c r="G48" s="285"/>
    </row>
    <row r="49" spans="1:9">
      <c r="A49" s="263"/>
      <c r="B49" s="475" t="s">
        <v>380</v>
      </c>
      <c r="C49" s="475"/>
      <c r="D49" s="270"/>
      <c r="E49" s="283" t="s">
        <v>479</v>
      </c>
      <c r="F49" s="362"/>
      <c r="G49" s="8"/>
    </row>
    <row r="50" spans="1:9" ht="15.75" thickBot="1">
      <c r="A50" s="266" t="s">
        <v>509</v>
      </c>
      <c r="B50" s="287" t="s">
        <v>384</v>
      </c>
      <c r="C50" s="287" t="s">
        <v>385</v>
      </c>
      <c r="D50" s="287"/>
      <c r="E50" s="288" t="s">
        <v>387</v>
      </c>
      <c r="F50" s="275">
        <f>SUM(F51:F57)</f>
        <v>101000</v>
      </c>
      <c r="G50" s="8"/>
      <c r="I50" s="377">
        <v>520326</v>
      </c>
    </row>
    <row r="51" spans="1:9">
      <c r="A51" s="269" t="s">
        <v>480</v>
      </c>
      <c r="B51" s="11">
        <v>0</v>
      </c>
      <c r="C51" s="285">
        <v>6000</v>
      </c>
      <c r="D51" s="11"/>
      <c r="E51" s="289">
        <v>27000</v>
      </c>
      <c r="F51" s="285">
        <f>SUM(C51:E51)</f>
        <v>33000</v>
      </c>
      <c r="G51" s="285"/>
      <c r="H51" s="11"/>
    </row>
    <row r="52" spans="1:9">
      <c r="A52" s="286" t="s">
        <v>481</v>
      </c>
      <c r="B52" s="11"/>
      <c r="C52" s="285"/>
      <c r="D52" s="11"/>
      <c r="E52" s="289"/>
      <c r="F52" s="285"/>
      <c r="G52" s="285"/>
      <c r="H52" s="11"/>
    </row>
    <row r="53" spans="1:9">
      <c r="A53" s="269" t="s">
        <v>482</v>
      </c>
      <c r="B53" s="270">
        <v>2000</v>
      </c>
      <c r="C53" s="285">
        <v>0</v>
      </c>
      <c r="D53" s="270"/>
      <c r="E53" s="270">
        <v>9000</v>
      </c>
      <c r="F53" s="285">
        <v>11000</v>
      </c>
      <c r="G53" s="285"/>
      <c r="H53" s="11"/>
    </row>
    <row r="54" spans="1:9">
      <c r="A54" s="286" t="s">
        <v>483</v>
      </c>
      <c r="B54" s="269"/>
      <c r="C54" s="285"/>
      <c r="D54" s="270"/>
      <c r="E54" s="270"/>
      <c r="F54" s="285"/>
      <c r="G54" s="285"/>
      <c r="H54" s="11"/>
    </row>
    <row r="55" spans="1:9">
      <c r="A55" s="269" t="s">
        <v>468</v>
      </c>
      <c r="B55" s="269">
        <v>0</v>
      </c>
      <c r="C55" s="270">
        <v>12000</v>
      </c>
      <c r="D55" s="270"/>
      <c r="E55" s="270"/>
      <c r="F55" s="285">
        <f>SUM(C55:E55)</f>
        <v>12000</v>
      </c>
      <c r="G55" s="285"/>
      <c r="H55" s="11"/>
    </row>
    <row r="56" spans="1:9">
      <c r="A56" s="269" t="s">
        <v>469</v>
      </c>
      <c r="B56" s="269">
        <v>0</v>
      </c>
      <c r="C56" s="285">
        <v>12000</v>
      </c>
      <c r="D56" s="270"/>
      <c r="E56" s="270"/>
      <c r="F56" s="285">
        <f>SUM(C56:E56)</f>
        <v>12000</v>
      </c>
      <c r="G56" s="285"/>
      <c r="H56" s="11"/>
    </row>
    <row r="57" spans="1:9">
      <c r="A57" s="269" t="s">
        <v>484</v>
      </c>
      <c r="B57" s="269">
        <v>0</v>
      </c>
      <c r="C57" s="285">
        <v>6000</v>
      </c>
      <c r="D57" s="270"/>
      <c r="E57" s="270">
        <v>27000</v>
      </c>
      <c r="F57" s="285">
        <f>SUM(C57:E57)</f>
        <v>33000</v>
      </c>
      <c r="G57" s="285"/>
      <c r="H57" s="11"/>
    </row>
    <row r="58" spans="1:9" ht="10.5" customHeight="1">
      <c r="A58" s="269"/>
      <c r="B58" s="269"/>
      <c r="C58" s="11"/>
      <c r="D58" s="270"/>
      <c r="E58" s="270"/>
      <c r="F58" s="11"/>
      <c r="G58" s="285"/>
      <c r="H58" s="11"/>
    </row>
    <row r="59" spans="1:9" ht="16.5" thickBot="1">
      <c r="A59" s="264" t="s">
        <v>397</v>
      </c>
      <c r="B59" s="264"/>
      <c r="F59" s="290">
        <f>F5+F11+F50</f>
        <v>575969.4</v>
      </c>
      <c r="G59" s="8"/>
    </row>
    <row r="60" spans="1:9" ht="13.5" customHeight="1" thickTop="1">
      <c r="A60" s="264"/>
      <c r="B60" s="264"/>
      <c r="F60" s="291"/>
      <c r="G60" s="8"/>
    </row>
    <row r="61" spans="1:9">
      <c r="E61" s="367"/>
      <c r="F61" s="8"/>
    </row>
    <row r="62" spans="1:9">
      <c r="E62" s="368"/>
      <c r="F62" s="8"/>
    </row>
  </sheetData>
  <mergeCells count="9">
    <mergeCell ref="F3:F4"/>
    <mergeCell ref="D23:D24"/>
    <mergeCell ref="B35:C35"/>
    <mergeCell ref="B49:C49"/>
    <mergeCell ref="D12:D13"/>
    <mergeCell ref="E12:E13"/>
    <mergeCell ref="C12:C13"/>
    <mergeCell ref="C23:C24"/>
    <mergeCell ref="E23:E24"/>
  </mergeCells>
  <pageMargins left="0.59055118110236227" right="0.31496062992125984" top="0.35433070866141736" bottom="0.35433070866141736" header="0.31496062992125984" footer="0.31496062992125984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4CDA9-3CD5-4BA7-83C7-3FEDCEE60C71}">
  <sheetPr>
    <tabColor theme="1"/>
  </sheetPr>
  <dimension ref="A1:V38"/>
  <sheetViews>
    <sheetView workbookViewId="0">
      <selection activeCell="D25" sqref="D25"/>
    </sheetView>
  </sheetViews>
  <sheetFormatPr defaultRowHeight="15"/>
  <cols>
    <col min="1" max="1" width="9.85546875" bestFit="1" customWidth="1"/>
    <col min="2" max="2" width="43" bestFit="1" customWidth="1"/>
    <col min="4" max="4" width="15.7109375" customWidth="1"/>
    <col min="5" max="5" width="11.42578125" customWidth="1"/>
    <col min="6" max="6" width="1.140625" style="237" customWidth="1"/>
    <col min="7" max="7" width="9.5703125" customWidth="1"/>
    <col min="8" max="9" width="4" bestFit="1" customWidth="1"/>
    <col min="10" max="10" width="10.85546875" customWidth="1"/>
    <col min="11" max="11" width="5" bestFit="1" customWidth="1"/>
    <col min="12" max="12" width="4" bestFit="1" customWidth="1"/>
    <col min="13" max="13" width="44" bestFit="1" customWidth="1"/>
    <col min="14" max="14" width="3" style="389" bestFit="1" customWidth="1"/>
    <col min="15" max="15" width="4" bestFit="1" customWidth="1"/>
    <col min="16" max="16" width="30.42578125" bestFit="1" customWidth="1"/>
    <col min="17" max="17" width="3" style="238" bestFit="1" customWidth="1"/>
  </cols>
  <sheetData>
    <row r="1" spans="1:22">
      <c r="A1" s="391"/>
      <c r="B1" s="392" t="s">
        <v>520</v>
      </c>
      <c r="C1" s="391"/>
      <c r="D1" s="391"/>
      <c r="E1" s="391"/>
      <c r="F1" s="393"/>
      <c r="G1" s="391"/>
      <c r="H1" s="391"/>
      <c r="I1" s="391"/>
      <c r="J1" s="391"/>
      <c r="K1" s="391"/>
      <c r="L1" s="391"/>
      <c r="M1" s="391"/>
      <c r="N1" s="394"/>
      <c r="O1" s="391"/>
      <c r="P1" s="391"/>
      <c r="Q1" s="395"/>
    </row>
    <row r="2" spans="1:22">
      <c r="A2" s="1" t="s">
        <v>331</v>
      </c>
      <c r="G2" s="483" t="s">
        <v>332</v>
      </c>
      <c r="H2" s="480">
        <f>SUM(K2:K10)</f>
        <v>101</v>
      </c>
      <c r="I2" s="480" t="s">
        <v>333</v>
      </c>
      <c r="J2" s="484" t="s">
        <v>521</v>
      </c>
      <c r="K2" s="480">
        <f>SUM(Q2:Q5)</f>
        <v>83</v>
      </c>
      <c r="L2" s="480" t="s">
        <v>333</v>
      </c>
      <c r="M2" t="s">
        <v>522</v>
      </c>
      <c r="N2" s="480" t="s">
        <v>523</v>
      </c>
      <c r="O2" s="480"/>
      <c r="P2" s="480"/>
      <c r="Q2" s="396">
        <v>33</v>
      </c>
    </row>
    <row r="3" spans="1:22">
      <c r="E3" s="238"/>
      <c r="G3" s="483"/>
      <c r="H3" s="480"/>
      <c r="I3" s="480"/>
      <c r="J3" s="484"/>
      <c r="K3" s="480"/>
      <c r="L3" s="480"/>
      <c r="M3" t="s">
        <v>524</v>
      </c>
      <c r="N3" s="480" t="s">
        <v>523</v>
      </c>
      <c r="O3" s="480"/>
      <c r="P3" s="480"/>
      <c r="Q3" s="396">
        <v>33</v>
      </c>
    </row>
    <row r="4" spans="1:22">
      <c r="B4" t="s">
        <v>337</v>
      </c>
      <c r="C4" s="8">
        <f>C30*Q2+C31*Q3</f>
        <v>136950</v>
      </c>
      <c r="E4" s="238"/>
      <c r="G4" s="483"/>
      <c r="H4" s="480"/>
      <c r="I4" s="480"/>
      <c r="J4" s="484"/>
      <c r="K4" s="480"/>
      <c r="L4" s="480"/>
      <c r="M4" t="s">
        <v>525</v>
      </c>
      <c r="N4" s="480" t="s">
        <v>523</v>
      </c>
      <c r="O4" s="480"/>
      <c r="P4" s="480"/>
      <c r="Q4" s="396">
        <v>10</v>
      </c>
    </row>
    <row r="5" spans="1:22">
      <c r="B5" t="s">
        <v>339</v>
      </c>
      <c r="C5" s="8">
        <f>C33*Q4</f>
        <v>18870</v>
      </c>
      <c r="D5" s="238"/>
      <c r="E5" s="238"/>
      <c r="G5" s="483"/>
      <c r="H5" s="480"/>
      <c r="I5" s="480"/>
      <c r="J5" s="484"/>
      <c r="K5" s="480"/>
      <c r="L5" s="480"/>
      <c r="M5" t="s">
        <v>526</v>
      </c>
      <c r="N5" s="480" t="s">
        <v>523</v>
      </c>
      <c r="O5" s="480"/>
      <c r="P5" s="480"/>
      <c r="Q5" s="396">
        <v>7</v>
      </c>
      <c r="T5" s="238" t="s">
        <v>527</v>
      </c>
      <c r="V5" t="s">
        <v>528</v>
      </c>
    </row>
    <row r="6" spans="1:22">
      <c r="B6" t="s">
        <v>529</v>
      </c>
      <c r="C6" s="8">
        <v>9000</v>
      </c>
      <c r="D6" s="397"/>
      <c r="E6" s="397"/>
      <c r="G6" s="483"/>
      <c r="H6" s="480"/>
      <c r="I6" s="480"/>
      <c r="J6" s="481" t="s">
        <v>530</v>
      </c>
      <c r="K6" s="480">
        <f>SUM(N6,Q9,Q10)</f>
        <v>18</v>
      </c>
      <c r="L6" s="480" t="s">
        <v>333</v>
      </c>
      <c r="M6" s="482" t="s">
        <v>344</v>
      </c>
      <c r="N6" s="480">
        <f>SUM(Q6:Q8)</f>
        <v>13</v>
      </c>
      <c r="O6" s="480" t="s">
        <v>333</v>
      </c>
      <c r="P6" t="s">
        <v>531</v>
      </c>
      <c r="Q6" s="398">
        <v>0</v>
      </c>
      <c r="T6" s="238">
        <f>C27</f>
        <v>2445</v>
      </c>
      <c r="V6">
        <f>T6-2445</f>
        <v>0</v>
      </c>
    </row>
    <row r="7" spans="1:22">
      <c r="G7" s="483"/>
      <c r="H7" s="480"/>
      <c r="I7" s="480"/>
      <c r="J7" s="481"/>
      <c r="K7" s="480"/>
      <c r="L7" s="480"/>
      <c r="M7" s="482"/>
      <c r="N7" s="480"/>
      <c r="O7" s="480"/>
      <c r="P7" t="s">
        <v>532</v>
      </c>
      <c r="Q7" s="398">
        <v>7</v>
      </c>
      <c r="R7" t="s">
        <v>533</v>
      </c>
    </row>
    <row r="8" spans="1:22">
      <c r="B8" s="399" t="s">
        <v>348</v>
      </c>
      <c r="C8" s="439">
        <f>SUM(C4:C6)</f>
        <v>164820</v>
      </c>
      <c r="G8" s="483"/>
      <c r="H8" s="480"/>
      <c r="I8" s="480"/>
      <c r="J8" s="481"/>
      <c r="K8" s="480"/>
      <c r="L8" s="480"/>
      <c r="M8" s="482"/>
      <c r="N8" s="480"/>
      <c r="O8" s="480"/>
      <c r="P8" t="s">
        <v>349</v>
      </c>
      <c r="Q8" s="398">
        <v>6</v>
      </c>
      <c r="R8" t="s">
        <v>534</v>
      </c>
    </row>
    <row r="9" spans="1:22">
      <c r="A9" s="400"/>
      <c r="B9" s="400"/>
      <c r="C9" s="400"/>
      <c r="G9" s="483"/>
      <c r="H9" s="480"/>
      <c r="I9" s="480"/>
      <c r="J9" s="481"/>
      <c r="K9" s="480"/>
      <c r="L9" s="480"/>
      <c r="M9" t="s">
        <v>351</v>
      </c>
      <c r="N9" s="480" t="s">
        <v>523</v>
      </c>
      <c r="O9" s="480"/>
      <c r="P9" s="480"/>
      <c r="Q9" s="398">
        <v>2</v>
      </c>
      <c r="R9" t="s">
        <v>535</v>
      </c>
      <c r="T9" s="238"/>
    </row>
    <row r="10" spans="1:22">
      <c r="A10" s="400"/>
      <c r="B10" s="400"/>
      <c r="C10" s="400"/>
      <c r="G10" s="483"/>
      <c r="H10" s="480"/>
      <c r="I10" s="480"/>
      <c r="J10" s="481"/>
      <c r="K10" s="480"/>
      <c r="L10" s="480"/>
      <c r="M10" t="s">
        <v>352</v>
      </c>
      <c r="N10" s="480" t="s">
        <v>523</v>
      </c>
      <c r="O10" s="480"/>
      <c r="P10" s="480"/>
      <c r="Q10" s="398">
        <v>3</v>
      </c>
      <c r="R10" t="s">
        <v>536</v>
      </c>
      <c r="T10" s="238"/>
    </row>
    <row r="11" spans="1:22">
      <c r="G11" s="401"/>
      <c r="H11" s="401"/>
      <c r="I11" s="401"/>
      <c r="J11" s="401"/>
      <c r="N11"/>
      <c r="Q11"/>
    </row>
    <row r="12" spans="1:22">
      <c r="A12" s="1" t="s">
        <v>353</v>
      </c>
      <c r="D12" s="485" t="s">
        <v>537</v>
      </c>
      <c r="E12" s="485"/>
      <c r="N12"/>
      <c r="Q12"/>
    </row>
    <row r="13" spans="1:22">
      <c r="B13" t="s">
        <v>355</v>
      </c>
      <c r="C13" s="239">
        <f>D13*H2</f>
        <v>121200</v>
      </c>
      <c r="D13" s="485">
        <v>1200</v>
      </c>
      <c r="E13" s="485"/>
      <c r="N13"/>
      <c r="Q13"/>
    </row>
    <row r="14" spans="1:22">
      <c r="B14" t="s">
        <v>356</v>
      </c>
      <c r="C14" s="8">
        <v>0</v>
      </c>
      <c r="D14" t="s">
        <v>538</v>
      </c>
      <c r="N14"/>
      <c r="Q14"/>
    </row>
    <row r="15" spans="1:22">
      <c r="B15" t="s">
        <v>357</v>
      </c>
      <c r="C15" s="8">
        <f>Q7*C31</f>
        <v>15225</v>
      </c>
      <c r="N15"/>
      <c r="Q15"/>
    </row>
    <row r="16" spans="1:22">
      <c r="B16" t="s">
        <v>359</v>
      </c>
      <c r="C16" s="8">
        <f>Q9*C31</f>
        <v>4350</v>
      </c>
      <c r="N16"/>
      <c r="Q16"/>
    </row>
    <row r="17" spans="1:17">
      <c r="B17" t="s">
        <v>539</v>
      </c>
      <c r="C17" s="8">
        <v>0</v>
      </c>
      <c r="N17"/>
      <c r="Q17"/>
    </row>
    <row r="18" spans="1:17">
      <c r="B18" t="s">
        <v>540</v>
      </c>
      <c r="C18" s="8">
        <v>1500</v>
      </c>
      <c r="N18"/>
      <c r="Q18"/>
    </row>
    <row r="19" spans="1:17">
      <c r="B19" t="s">
        <v>541</v>
      </c>
      <c r="C19" s="8">
        <f>K6*D19</f>
        <v>5400</v>
      </c>
      <c r="D19" s="485">
        <v>300</v>
      </c>
      <c r="E19" s="485"/>
      <c r="N19"/>
      <c r="Q19"/>
    </row>
    <row r="20" spans="1:17">
      <c r="B20" t="s">
        <v>542</v>
      </c>
      <c r="C20" s="8">
        <v>1500</v>
      </c>
      <c r="D20" s="479">
        <f>C20/K6</f>
        <v>83.333333333333329</v>
      </c>
      <c r="E20" s="479"/>
      <c r="N20"/>
      <c r="Q20"/>
    </row>
    <row r="21" spans="1:17">
      <c r="B21" t="s">
        <v>363</v>
      </c>
      <c r="C21" s="8">
        <v>7200</v>
      </c>
      <c r="N21"/>
      <c r="Q21"/>
    </row>
    <row r="22" spans="1:17">
      <c r="B22" t="s">
        <v>364</v>
      </c>
      <c r="C22" s="8">
        <v>2000</v>
      </c>
      <c r="N22"/>
      <c r="Q22"/>
    </row>
    <row r="23" spans="1:17">
      <c r="B23" t="s">
        <v>543</v>
      </c>
      <c r="C23" s="8">
        <v>4000</v>
      </c>
      <c r="N23"/>
      <c r="Q23"/>
    </row>
    <row r="24" spans="1:17">
      <c r="B24" s="402" t="s">
        <v>544</v>
      </c>
      <c r="C24" s="438">
        <f>SUM(C13:C23)</f>
        <v>162375</v>
      </c>
      <c r="N24"/>
      <c r="Q24"/>
    </row>
    <row r="25" spans="1:17">
      <c r="A25" s="400"/>
      <c r="B25" s="400"/>
      <c r="C25" s="403"/>
      <c r="N25"/>
      <c r="Q25"/>
    </row>
    <row r="26" spans="1:17">
      <c r="C26" s="8"/>
      <c r="N26"/>
      <c r="Q26"/>
    </row>
    <row r="27" spans="1:17">
      <c r="B27" s="404" t="s">
        <v>557</v>
      </c>
      <c r="C27" s="440">
        <f>C8-C24</f>
        <v>2445</v>
      </c>
      <c r="N27"/>
      <c r="Q27"/>
    </row>
    <row r="28" spans="1:17">
      <c r="A28" s="400"/>
      <c r="B28" s="400"/>
      <c r="C28" s="403"/>
      <c r="N28"/>
      <c r="Q28"/>
    </row>
    <row r="29" spans="1:17">
      <c r="C29" s="8"/>
      <c r="N29"/>
      <c r="Q29"/>
    </row>
    <row r="30" spans="1:17">
      <c r="B30" t="s">
        <v>366</v>
      </c>
      <c r="C30" s="405">
        <v>1975</v>
      </c>
      <c r="D30" s="389" t="s">
        <v>545</v>
      </c>
      <c r="N30"/>
      <c r="Q30"/>
    </row>
    <row r="31" spans="1:17">
      <c r="B31" t="s">
        <v>367</v>
      </c>
      <c r="C31" s="405">
        <v>2175</v>
      </c>
      <c r="D31" s="406" t="s">
        <v>545</v>
      </c>
    </row>
    <row r="32" spans="1:17">
      <c r="B32" t="s">
        <v>546</v>
      </c>
      <c r="C32" s="407">
        <v>255</v>
      </c>
      <c r="D32" s="389" t="s">
        <v>547</v>
      </c>
      <c r="E32" s="238" t="s">
        <v>548</v>
      </c>
    </row>
    <row r="33" spans="2:5">
      <c r="B33" t="s">
        <v>549</v>
      </c>
      <c r="C33" s="8">
        <f>E33*C32</f>
        <v>1887</v>
      </c>
      <c r="D33" t="s">
        <v>545</v>
      </c>
      <c r="E33" s="238">
        <v>7.4</v>
      </c>
    </row>
    <row r="34" spans="2:5">
      <c r="C34" s="408"/>
    </row>
    <row r="35" spans="2:5">
      <c r="C35" s="408"/>
    </row>
    <row r="36" spans="2:5">
      <c r="C36" s="408"/>
    </row>
    <row r="37" spans="2:5">
      <c r="C37" s="408"/>
    </row>
    <row r="38" spans="2:5">
      <c r="C38" s="408"/>
    </row>
  </sheetData>
  <mergeCells count="22">
    <mergeCell ref="K2:K5"/>
    <mergeCell ref="N9:P9"/>
    <mergeCell ref="N10:P10"/>
    <mergeCell ref="D12:E12"/>
    <mergeCell ref="D13:E13"/>
    <mergeCell ref="L2:L5"/>
    <mergeCell ref="D20:E20"/>
    <mergeCell ref="N2:P2"/>
    <mergeCell ref="N3:P3"/>
    <mergeCell ref="N4:P4"/>
    <mergeCell ref="N5:P5"/>
    <mergeCell ref="J6:J10"/>
    <mergeCell ref="K6:K10"/>
    <mergeCell ref="L6:L10"/>
    <mergeCell ref="M6:M8"/>
    <mergeCell ref="N6:N8"/>
    <mergeCell ref="O6:O8"/>
    <mergeCell ref="G2:G10"/>
    <mergeCell ref="H2:H10"/>
    <mergeCell ref="I2:I10"/>
    <mergeCell ref="J2:J5"/>
    <mergeCell ref="D19:E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4">
    <tabColor theme="1"/>
  </sheetPr>
  <dimension ref="A1:Q31"/>
  <sheetViews>
    <sheetView workbookViewId="0">
      <selection activeCell="B3" sqref="B3"/>
    </sheetView>
  </sheetViews>
  <sheetFormatPr defaultRowHeight="15"/>
  <cols>
    <col min="1" max="1" width="9.7109375" bestFit="1" customWidth="1"/>
    <col min="2" max="2" width="37.42578125" bestFit="1" customWidth="1"/>
    <col min="5" max="5" width="1.28515625" style="237" customWidth="1"/>
    <col min="6" max="6" width="7.7109375" customWidth="1"/>
    <col min="7" max="7" width="3" bestFit="1" customWidth="1"/>
    <col min="8" max="8" width="4" bestFit="1" customWidth="1"/>
    <col min="9" max="9" width="24.7109375" bestFit="1" customWidth="1"/>
    <col min="10" max="10" width="5" bestFit="1" customWidth="1"/>
    <col min="11" max="11" width="4" bestFit="1" customWidth="1"/>
    <col min="12" max="12" width="42.5703125" bestFit="1" customWidth="1"/>
    <col min="13" max="13" width="3" style="238" bestFit="1" customWidth="1"/>
    <col min="14" max="14" width="3.28515625" customWidth="1"/>
    <col min="15" max="15" width="27.42578125" bestFit="1" customWidth="1"/>
    <col min="16" max="16" width="2" style="238" bestFit="1" customWidth="1"/>
  </cols>
  <sheetData>
    <row r="1" spans="1:17">
      <c r="B1" s="373">
        <v>2017</v>
      </c>
    </row>
    <row r="2" spans="1:17">
      <c r="A2" s="1" t="s">
        <v>331</v>
      </c>
      <c r="F2" s="483" t="s">
        <v>332</v>
      </c>
      <c r="G2" s="480">
        <f>SUM(J2:J10)</f>
        <v>96</v>
      </c>
      <c r="H2" s="480" t="s">
        <v>333</v>
      </c>
      <c r="I2" s="480" t="s">
        <v>334</v>
      </c>
      <c r="J2" s="480">
        <f>SUM(M2:M5)</f>
        <v>77</v>
      </c>
      <c r="K2" s="480" t="s">
        <v>333</v>
      </c>
      <c r="L2" t="s">
        <v>335</v>
      </c>
      <c r="M2" s="238">
        <v>30</v>
      </c>
      <c r="N2">
        <v>22</v>
      </c>
    </row>
    <row r="3" spans="1:17">
      <c r="F3" s="483"/>
      <c r="G3" s="480"/>
      <c r="H3" s="480"/>
      <c r="I3" s="480"/>
      <c r="J3" s="480"/>
      <c r="K3" s="480"/>
      <c r="L3" t="s">
        <v>336</v>
      </c>
      <c r="M3" s="238">
        <v>30</v>
      </c>
      <c r="N3">
        <v>32</v>
      </c>
    </row>
    <row r="4" spans="1:17">
      <c r="B4" t="s">
        <v>337</v>
      </c>
      <c r="C4" s="8">
        <f>C26*M2+C27*M3</f>
        <v>123000</v>
      </c>
      <c r="F4" s="483"/>
      <c r="G4" s="480"/>
      <c r="H4" s="480"/>
      <c r="I4" s="480"/>
      <c r="J4" s="480"/>
      <c r="K4" s="480"/>
      <c r="L4" t="s">
        <v>338</v>
      </c>
      <c r="M4" s="238">
        <v>14</v>
      </c>
      <c r="N4">
        <v>13</v>
      </c>
    </row>
    <row r="5" spans="1:17">
      <c r="B5" t="s">
        <v>339</v>
      </c>
      <c r="C5" s="8">
        <f>C28*M4</f>
        <v>24696</v>
      </c>
      <c r="F5" s="483"/>
      <c r="G5" s="480"/>
      <c r="H5" s="480"/>
      <c r="I5" s="480"/>
      <c r="J5" s="480"/>
      <c r="K5" s="480"/>
      <c r="L5" t="s">
        <v>340</v>
      </c>
      <c r="M5" s="238">
        <v>3</v>
      </c>
      <c r="N5" t="s">
        <v>341</v>
      </c>
    </row>
    <row r="6" spans="1:17">
      <c r="B6" t="s">
        <v>342</v>
      </c>
      <c r="C6" s="8">
        <v>7000</v>
      </c>
      <c r="F6" s="483"/>
      <c r="G6" s="480"/>
      <c r="H6" s="480"/>
      <c r="I6" s="480" t="s">
        <v>343</v>
      </c>
      <c r="J6" s="480">
        <f>SUM(M6:M10)</f>
        <v>19</v>
      </c>
      <c r="K6" s="480" t="s">
        <v>333</v>
      </c>
      <c r="L6" s="482" t="s">
        <v>344</v>
      </c>
      <c r="M6" s="480">
        <f>SUM(P6:P8)</f>
        <v>15</v>
      </c>
      <c r="N6" s="480" t="s">
        <v>333</v>
      </c>
      <c r="O6" t="s">
        <v>345</v>
      </c>
      <c r="P6" s="238">
        <v>2</v>
      </c>
      <c r="Q6" t="s">
        <v>346</v>
      </c>
    </row>
    <row r="7" spans="1:17">
      <c r="C7" s="8"/>
      <c r="F7" s="483"/>
      <c r="G7" s="480"/>
      <c r="H7" s="480"/>
      <c r="I7" s="480"/>
      <c r="J7" s="480"/>
      <c r="K7" s="480"/>
      <c r="L7" s="482"/>
      <c r="M7" s="480"/>
      <c r="N7" s="480"/>
      <c r="O7" t="s">
        <v>347</v>
      </c>
      <c r="P7" s="238">
        <v>8</v>
      </c>
    </row>
    <row r="8" spans="1:17">
      <c r="B8" t="s">
        <v>348</v>
      </c>
      <c r="C8" s="8">
        <f>SUM(C4:C6)</f>
        <v>154696</v>
      </c>
      <c r="F8" s="483"/>
      <c r="G8" s="480"/>
      <c r="H8" s="480"/>
      <c r="I8" s="480"/>
      <c r="J8" s="480"/>
      <c r="K8" s="480"/>
      <c r="L8" s="482"/>
      <c r="M8" s="480"/>
      <c r="N8" s="480"/>
      <c r="O8" t="s">
        <v>349</v>
      </c>
      <c r="P8" s="238">
        <v>5</v>
      </c>
      <c r="Q8" t="s">
        <v>350</v>
      </c>
    </row>
    <row r="9" spans="1:17">
      <c r="C9" s="8"/>
      <c r="F9" s="483"/>
      <c r="G9" s="480"/>
      <c r="H9" s="480"/>
      <c r="I9" s="480"/>
      <c r="J9" s="480"/>
      <c r="K9" s="480"/>
      <c r="L9" t="s">
        <v>351</v>
      </c>
      <c r="M9" s="238">
        <v>2</v>
      </c>
    </row>
    <row r="10" spans="1:17">
      <c r="C10" s="8"/>
      <c r="F10" s="483"/>
      <c r="G10" s="480"/>
      <c r="H10" s="480"/>
      <c r="I10" s="480"/>
      <c r="J10" s="480"/>
      <c r="K10" s="480"/>
      <c r="L10" t="s">
        <v>352</v>
      </c>
      <c r="M10" s="238">
        <v>2</v>
      </c>
    </row>
    <row r="11" spans="1:17">
      <c r="A11" s="1" t="s">
        <v>353</v>
      </c>
      <c r="C11" s="8"/>
      <c r="D11" t="s">
        <v>354</v>
      </c>
    </row>
    <row r="12" spans="1:17">
      <c r="B12" t="s">
        <v>355</v>
      </c>
      <c r="C12" s="239">
        <f>D12*G2</f>
        <v>115200</v>
      </c>
      <c r="D12" s="8">
        <v>1200</v>
      </c>
    </row>
    <row r="13" spans="1:17">
      <c r="B13" t="s">
        <v>356</v>
      </c>
      <c r="C13" s="8">
        <f>J2*D13</f>
        <v>3850</v>
      </c>
      <c r="D13">
        <v>50</v>
      </c>
    </row>
    <row r="14" spans="1:17">
      <c r="B14" t="s">
        <v>357</v>
      </c>
      <c r="C14" s="8">
        <f>P7*C27</f>
        <v>17200</v>
      </c>
    </row>
    <row r="15" spans="1:17">
      <c r="B15" t="s">
        <v>359</v>
      </c>
      <c r="C15" s="8">
        <f>M9*C27</f>
        <v>4300</v>
      </c>
    </row>
    <row r="16" spans="1:17">
      <c r="B16" t="s">
        <v>360</v>
      </c>
      <c r="C16" s="8">
        <v>6450</v>
      </c>
    </row>
    <row r="17" spans="2:6" customFormat="1">
      <c r="B17" t="s">
        <v>361</v>
      </c>
      <c r="C17" s="8">
        <v>1500</v>
      </c>
      <c r="E17" s="237"/>
    </row>
    <row r="18" spans="2:6" customFormat="1">
      <c r="B18" t="s">
        <v>362</v>
      </c>
      <c r="C18" s="8">
        <f>J6*D18</f>
        <v>4750</v>
      </c>
      <c r="D18">
        <f>250</f>
        <v>250</v>
      </c>
      <c r="E18" s="237"/>
    </row>
    <row r="19" spans="2:6" customFormat="1">
      <c r="B19" t="s">
        <v>363</v>
      </c>
      <c r="C19" s="8">
        <v>7100</v>
      </c>
      <c r="E19" s="237"/>
    </row>
    <row r="20" spans="2:6" customFormat="1">
      <c r="B20" t="s">
        <v>364</v>
      </c>
      <c r="C20" s="8">
        <v>1500</v>
      </c>
      <c r="E20" s="237"/>
    </row>
    <row r="21" spans="2:6" customFormat="1">
      <c r="B21" t="s">
        <v>358</v>
      </c>
      <c r="C21" s="8">
        <v>3700</v>
      </c>
      <c r="E21" s="237"/>
    </row>
    <row r="22" spans="2:6" customFormat="1">
      <c r="C22" s="8">
        <f>SUM(C12:C21)</f>
        <v>165550</v>
      </c>
      <c r="E22" s="237"/>
    </row>
    <row r="23" spans="2:6" customFormat="1">
      <c r="C23" s="8"/>
      <c r="E23" s="237"/>
    </row>
    <row r="24" spans="2:6" customFormat="1" ht="15.75" thickBot="1">
      <c r="B24" s="1" t="s">
        <v>365</v>
      </c>
      <c r="C24" s="240">
        <f>C8-C22</f>
        <v>-10854</v>
      </c>
      <c r="E24" s="237"/>
    </row>
    <row r="25" spans="2:6" customFormat="1" ht="15.75" thickTop="1">
      <c r="E25" s="237"/>
    </row>
    <row r="26" spans="2:6" customFormat="1">
      <c r="B26" t="s">
        <v>366</v>
      </c>
      <c r="C26" s="8">
        <v>1950</v>
      </c>
      <c r="E26" s="237"/>
    </row>
    <row r="27" spans="2:6" customFormat="1">
      <c r="B27" t="s">
        <v>367</v>
      </c>
      <c r="C27" s="8">
        <v>2150</v>
      </c>
      <c r="E27" s="237"/>
    </row>
    <row r="28" spans="2:6" customFormat="1">
      <c r="B28" t="s">
        <v>368</v>
      </c>
      <c r="C28" s="8">
        <f>D28*7.35</f>
        <v>1764</v>
      </c>
      <c r="D28" s="241">
        <v>240</v>
      </c>
      <c r="E28" s="237"/>
      <c r="F28" t="s">
        <v>369</v>
      </c>
    </row>
    <row r="29" spans="2:6">
      <c r="C29" s="8"/>
    </row>
    <row r="30" spans="2:6" customFormat="1">
      <c r="C30" s="8">
        <f>(C22-20000)/74</f>
        <v>1966.8918918918919</v>
      </c>
      <c r="E30" s="237"/>
    </row>
    <row r="31" spans="2:6" customFormat="1">
      <c r="C31" s="8">
        <f>(C22)/74</f>
        <v>2237.1621621621621</v>
      </c>
      <c r="E31" s="237"/>
    </row>
  </sheetData>
  <mergeCells count="12">
    <mergeCell ref="L6:L8"/>
    <mergeCell ref="M6:M8"/>
    <mergeCell ref="N6:N8"/>
    <mergeCell ref="F2:F10"/>
    <mergeCell ref="G2:G10"/>
    <mergeCell ref="H2:H10"/>
    <mergeCell ref="I2:I5"/>
    <mergeCell ref="J2:J5"/>
    <mergeCell ref="K2:K5"/>
    <mergeCell ref="I6:I10"/>
    <mergeCell ref="J6:J10"/>
    <mergeCell ref="K6:K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5">
    <tabColor theme="1" tint="4.9989318521683403E-2"/>
    <outlinePr summaryBelow="0"/>
  </sheetPr>
  <dimension ref="A1:O345"/>
  <sheetViews>
    <sheetView topLeftCell="C1" zoomScaleNormal="100" workbookViewId="0">
      <pane ySplit="1" topLeftCell="A217" activePane="bottomLeft" state="frozen"/>
      <selection pane="bottomLeft" activeCell="N317" sqref="N316:O317"/>
    </sheetView>
  </sheetViews>
  <sheetFormatPr defaultColWidth="9.28515625" defaultRowHeight="12.75" outlineLevelRow="2"/>
  <cols>
    <col min="1" max="1" width="7.28515625" style="26" hidden="1" customWidth="1"/>
    <col min="2" max="2" width="6.7109375" style="6" hidden="1" customWidth="1"/>
    <col min="3" max="3" width="6" style="90" customWidth="1"/>
    <col min="4" max="4" width="27.7109375" style="11" customWidth="1"/>
    <col min="5" max="5" width="9.7109375" style="11" hidden="1" customWidth="1"/>
    <col min="6" max="6" width="20.7109375" style="26" customWidth="1"/>
    <col min="7" max="9" width="7.7109375" style="26" customWidth="1"/>
    <col min="10" max="10" width="6.28515625" style="3" customWidth="1"/>
    <col min="11" max="11" width="6" style="3" customWidth="1"/>
    <col min="12" max="13" width="6.5703125" style="3" customWidth="1"/>
    <col min="14" max="14" width="7.28515625" style="3" customWidth="1"/>
    <col min="15" max="15" width="13.28515625" style="3" customWidth="1"/>
    <col min="16" max="16384" width="9.28515625" style="3"/>
  </cols>
  <sheetData>
    <row r="1" spans="1:10" s="2" customFormat="1" ht="50.25" customHeight="1">
      <c r="A1" s="41" t="s">
        <v>161</v>
      </c>
      <c r="B1" s="64" t="s">
        <v>198</v>
      </c>
      <c r="C1" s="109" t="s">
        <v>43</v>
      </c>
      <c r="D1" s="162" t="s">
        <v>44</v>
      </c>
      <c r="E1" s="9" t="s">
        <v>59</v>
      </c>
      <c r="F1" s="131" t="s">
        <v>58</v>
      </c>
      <c r="G1" s="175" t="s">
        <v>194</v>
      </c>
      <c r="H1" s="197" t="s">
        <v>100</v>
      </c>
      <c r="I1" s="214" t="s">
        <v>305</v>
      </c>
    </row>
    <row r="2" spans="1:10" ht="15.75">
      <c r="B2" s="33"/>
      <c r="D2" s="128" t="s">
        <v>190</v>
      </c>
      <c r="E2" s="32"/>
      <c r="F2" s="89" t="s">
        <v>134</v>
      </c>
      <c r="G2" s="176"/>
      <c r="H2" s="198"/>
      <c r="I2" s="198"/>
    </row>
    <row r="3" spans="1:10" ht="10.15" customHeight="1">
      <c r="B3" s="33"/>
      <c r="G3" s="118"/>
    </row>
    <row r="4" spans="1:10" collapsed="1">
      <c r="A4" s="26" t="s">
        <v>0</v>
      </c>
      <c r="B4" s="33"/>
      <c r="C4" s="42">
        <v>100000</v>
      </c>
      <c r="D4" s="12" t="s">
        <v>163</v>
      </c>
      <c r="E4" s="12"/>
      <c r="F4" s="132"/>
      <c r="G4" s="177">
        <f>SUM(G5:G42)</f>
        <v>1955992</v>
      </c>
      <c r="H4" s="199">
        <f t="shared" ref="H4:I4" si="0">H43</f>
        <v>2999959</v>
      </c>
      <c r="I4" s="200">
        <f t="shared" si="0"/>
        <v>3071926</v>
      </c>
    </row>
    <row r="5" spans="1:10" hidden="1" outlineLevel="1">
      <c r="B5" s="33"/>
      <c r="G5" s="118"/>
      <c r="H5" s="118"/>
      <c r="I5" s="118"/>
    </row>
    <row r="6" spans="1:10" hidden="1" outlineLevel="1">
      <c r="A6" s="26" t="s">
        <v>0</v>
      </c>
      <c r="B6" s="33"/>
      <c r="C6" s="90">
        <v>110000</v>
      </c>
      <c r="D6" s="10" t="s">
        <v>14</v>
      </c>
      <c r="G6" s="118"/>
      <c r="H6" s="118"/>
      <c r="I6" s="118"/>
    </row>
    <row r="7" spans="1:10" ht="15" hidden="1" outlineLevel="1">
      <c r="A7" s="26" t="s">
        <v>136</v>
      </c>
      <c r="B7" s="33">
        <v>1000</v>
      </c>
      <c r="C7" s="90">
        <v>110001</v>
      </c>
      <c r="D7" s="11" t="s">
        <v>201</v>
      </c>
      <c r="E7" s="11" t="s">
        <v>60</v>
      </c>
      <c r="G7" s="118">
        <v>1572580</v>
      </c>
      <c r="H7" s="201">
        <v>1616239</v>
      </c>
      <c r="I7" s="203">
        <v>1616240</v>
      </c>
      <c r="J7" s="1"/>
    </row>
    <row r="8" spans="1:10" ht="15" hidden="1" outlineLevel="1">
      <c r="A8" s="26" t="s">
        <v>136</v>
      </c>
      <c r="B8" s="33">
        <v>1010</v>
      </c>
      <c r="C8" s="90">
        <v>110003</v>
      </c>
      <c r="D8" s="11" t="s">
        <v>202</v>
      </c>
      <c r="G8" s="118"/>
      <c r="H8" s="201">
        <v>10000</v>
      </c>
      <c r="I8" s="203">
        <v>0</v>
      </c>
      <c r="J8"/>
    </row>
    <row r="9" spans="1:10" ht="15" hidden="1" outlineLevel="1">
      <c r="A9" s="26" t="s">
        <v>136</v>
      </c>
      <c r="B9" s="33">
        <v>1011</v>
      </c>
      <c r="C9" s="90">
        <v>110005</v>
      </c>
      <c r="D9" s="56" t="s">
        <v>203</v>
      </c>
      <c r="G9" s="118"/>
      <c r="H9" s="201">
        <v>3000</v>
      </c>
      <c r="I9" s="203">
        <v>5511</v>
      </c>
      <c r="J9" s="15"/>
    </row>
    <row r="10" spans="1:10" ht="15" hidden="1" outlineLevel="1">
      <c r="A10" s="26" t="s">
        <v>136</v>
      </c>
      <c r="B10" s="36">
        <v>1012</v>
      </c>
      <c r="C10" s="90">
        <v>110007</v>
      </c>
      <c r="D10" s="56" t="s">
        <v>306</v>
      </c>
      <c r="G10" s="118"/>
      <c r="H10" s="201">
        <v>8000</v>
      </c>
      <c r="I10" s="203">
        <v>20561</v>
      </c>
      <c r="J10" s="15"/>
    </row>
    <row r="11" spans="1:10" ht="15" hidden="1" outlineLevel="1">
      <c r="A11" s="26" t="s">
        <v>136</v>
      </c>
      <c r="B11" s="36">
        <v>1018</v>
      </c>
      <c r="C11" s="90">
        <v>110018</v>
      </c>
      <c r="D11" s="56" t="s">
        <v>175</v>
      </c>
      <c r="G11" s="118">
        <v>200625</v>
      </c>
      <c r="H11" s="145">
        <v>220625</v>
      </c>
      <c r="I11" s="209">
        <v>220625</v>
      </c>
      <c r="J11" s="15"/>
    </row>
    <row r="12" spans="1:10" ht="15" hidden="1" outlineLevel="1">
      <c r="A12" s="26" t="s">
        <v>136</v>
      </c>
      <c r="B12" s="36">
        <v>1019</v>
      </c>
      <c r="C12" s="90">
        <v>110019</v>
      </c>
      <c r="D12" s="56" t="s">
        <v>200</v>
      </c>
      <c r="G12" s="118"/>
      <c r="H12" s="201">
        <v>102000</v>
      </c>
      <c r="I12" s="203">
        <v>163785</v>
      </c>
      <c r="J12" s="15"/>
    </row>
    <row r="13" spans="1:10" ht="15" hidden="1" outlineLevel="1">
      <c r="B13" s="36">
        <v>1020</v>
      </c>
      <c r="C13" s="110">
        <v>110020</v>
      </c>
      <c r="D13" s="56" t="s">
        <v>183</v>
      </c>
      <c r="G13" s="118"/>
      <c r="H13" s="201"/>
      <c r="I13" s="203">
        <v>11403</v>
      </c>
      <c r="J13" s="15"/>
    </row>
    <row r="14" spans="1:10" ht="15" hidden="1" outlineLevel="1">
      <c r="A14" s="26" t="s">
        <v>136</v>
      </c>
      <c r="B14" s="33">
        <v>1710</v>
      </c>
      <c r="C14" s="110">
        <v>110021</v>
      </c>
      <c r="D14" s="56" t="s">
        <v>199</v>
      </c>
      <c r="G14" s="118"/>
      <c r="H14" s="201">
        <v>170000</v>
      </c>
      <c r="I14" s="203">
        <v>170000</v>
      </c>
      <c r="J14" s="15"/>
    </row>
    <row r="15" spans="1:10" ht="15" hidden="1" outlineLevel="1">
      <c r="A15" s="26" t="s">
        <v>136</v>
      </c>
      <c r="B15" s="33">
        <v>1715</v>
      </c>
      <c r="C15" s="110">
        <v>110098</v>
      </c>
      <c r="D15" s="56" t="s">
        <v>1</v>
      </c>
      <c r="G15" s="178">
        <v>32787</v>
      </c>
      <c r="H15" s="202">
        <v>0</v>
      </c>
      <c r="I15" s="204">
        <v>50000</v>
      </c>
      <c r="J15" s="16"/>
    </row>
    <row r="16" spans="1:10" ht="15" hidden="1" outlineLevel="1">
      <c r="A16" s="26" t="s">
        <v>2</v>
      </c>
      <c r="B16" s="33">
        <v>1049</v>
      </c>
      <c r="C16" s="110">
        <v>119999</v>
      </c>
      <c r="D16" s="10" t="s">
        <v>3</v>
      </c>
      <c r="G16" s="118"/>
      <c r="H16" s="199">
        <f t="shared" ref="H16:I16" si="1">SUM(H7:H15)</f>
        <v>2129864</v>
      </c>
      <c r="I16" s="200">
        <f t="shared" si="1"/>
        <v>2258125</v>
      </c>
      <c r="J16" s="15"/>
    </row>
    <row r="17" spans="1:10" ht="12.75" hidden="1" customHeight="1" outlineLevel="1">
      <c r="B17" s="33"/>
      <c r="D17" s="10"/>
      <c r="G17" s="118"/>
      <c r="H17" s="118"/>
      <c r="I17" s="118"/>
      <c r="J17" s="16"/>
    </row>
    <row r="18" spans="1:10" ht="15" hidden="1" outlineLevel="1">
      <c r="A18" s="26" t="s">
        <v>0</v>
      </c>
      <c r="B18" s="33"/>
      <c r="C18" s="90">
        <v>120000</v>
      </c>
      <c r="D18" s="10" t="s">
        <v>152</v>
      </c>
      <c r="G18" s="118"/>
      <c r="H18" s="118"/>
      <c r="I18" s="118"/>
      <c r="J18" s="15"/>
    </row>
    <row r="19" spans="1:10" hidden="1" outlineLevel="1">
      <c r="A19" s="26" t="s">
        <v>136</v>
      </c>
      <c r="B19" s="36">
        <v>1414</v>
      </c>
      <c r="C19" s="90">
        <v>120001</v>
      </c>
      <c r="D19" s="11" t="s">
        <v>121</v>
      </c>
      <c r="E19" s="11" t="s">
        <v>8</v>
      </c>
      <c r="F19" s="133"/>
      <c r="G19" s="118"/>
      <c r="H19" s="201">
        <v>35000</v>
      </c>
      <c r="I19" s="203">
        <v>31669</v>
      </c>
    </row>
    <row r="20" spans="1:10" hidden="1" outlineLevel="1">
      <c r="A20" s="26" t="s">
        <v>136</v>
      </c>
      <c r="B20" s="36">
        <v>1415</v>
      </c>
      <c r="C20" s="90">
        <v>120002</v>
      </c>
      <c r="D20" s="11" t="s">
        <v>119</v>
      </c>
      <c r="E20" s="11" t="s">
        <v>8</v>
      </c>
      <c r="F20" s="133"/>
      <c r="G20" s="118"/>
      <c r="H20" s="201">
        <v>20000</v>
      </c>
      <c r="I20" s="203">
        <v>46189</v>
      </c>
    </row>
    <row r="21" spans="1:10" hidden="1" outlineLevel="1">
      <c r="A21" s="26" t="s">
        <v>136</v>
      </c>
      <c r="B21" s="36">
        <v>1417</v>
      </c>
      <c r="C21" s="90">
        <v>120003</v>
      </c>
      <c r="D21" s="11" t="s">
        <v>120</v>
      </c>
      <c r="E21" s="11" t="s">
        <v>8</v>
      </c>
      <c r="F21" s="133"/>
      <c r="G21" s="118"/>
      <c r="H21" s="201">
        <v>65000</v>
      </c>
      <c r="I21" s="203">
        <v>128072</v>
      </c>
    </row>
    <row r="22" spans="1:10" hidden="1" outlineLevel="1">
      <c r="A22" s="26" t="s">
        <v>136</v>
      </c>
      <c r="B22" s="36">
        <v>1418</v>
      </c>
      <c r="C22" s="90">
        <v>120004</v>
      </c>
      <c r="D22" s="11" t="s">
        <v>122</v>
      </c>
      <c r="E22" s="11" t="s">
        <v>8</v>
      </c>
      <c r="F22" s="133"/>
      <c r="G22" s="178"/>
      <c r="H22" s="202">
        <v>100000</v>
      </c>
      <c r="I22" s="204">
        <v>94789</v>
      </c>
    </row>
    <row r="23" spans="1:10" hidden="1" outlineLevel="1">
      <c r="A23" s="26" t="s">
        <v>2</v>
      </c>
      <c r="B23" s="36">
        <v>1419</v>
      </c>
      <c r="C23" s="90">
        <v>129999</v>
      </c>
      <c r="D23" s="10" t="s">
        <v>204</v>
      </c>
      <c r="F23" s="133"/>
      <c r="G23" s="118"/>
      <c r="H23" s="199">
        <f t="shared" ref="H23:I23" si="2">SUM(H19:H22)</f>
        <v>220000</v>
      </c>
      <c r="I23" s="200">
        <f t="shared" si="2"/>
        <v>300719</v>
      </c>
    </row>
    <row r="24" spans="1:10" hidden="1" outlineLevel="1">
      <c r="B24" s="46"/>
      <c r="F24" s="133"/>
      <c r="G24" s="118"/>
      <c r="H24" s="118"/>
      <c r="I24" s="118"/>
    </row>
    <row r="25" spans="1:10" hidden="1" outlineLevel="1">
      <c r="A25" s="26" t="s">
        <v>0</v>
      </c>
      <c r="B25" s="46"/>
      <c r="C25" s="90">
        <v>130000</v>
      </c>
      <c r="D25" s="10" t="s">
        <v>192</v>
      </c>
      <c r="F25" s="133"/>
      <c r="G25" s="118"/>
      <c r="H25" s="118"/>
      <c r="I25" s="118"/>
    </row>
    <row r="26" spans="1:10" hidden="1" outlineLevel="1">
      <c r="A26" s="26" t="s">
        <v>136</v>
      </c>
      <c r="B26" s="33">
        <v>1800</v>
      </c>
      <c r="C26" s="90">
        <v>130001</v>
      </c>
      <c r="D26" s="56" t="s">
        <v>64</v>
      </c>
      <c r="E26" s="11" t="s">
        <v>61</v>
      </c>
      <c r="F26" s="44"/>
      <c r="G26" s="178"/>
      <c r="H26" s="202">
        <v>135000</v>
      </c>
      <c r="I26" s="204">
        <v>60274</v>
      </c>
    </row>
    <row r="27" spans="1:10" hidden="1" outlineLevel="1">
      <c r="A27" s="26" t="s">
        <v>2</v>
      </c>
      <c r="B27" s="33"/>
      <c r="C27" s="90">
        <v>139999</v>
      </c>
      <c r="D27" s="56" t="s">
        <v>299</v>
      </c>
      <c r="G27" s="118"/>
      <c r="H27" s="199">
        <f t="shared" ref="H27:I27" si="3">H26</f>
        <v>135000</v>
      </c>
      <c r="I27" s="200">
        <f t="shared" si="3"/>
        <v>60274</v>
      </c>
    </row>
    <row r="28" spans="1:10" hidden="1" outlineLevel="1">
      <c r="B28" s="33"/>
      <c r="D28" s="56"/>
      <c r="G28" s="118"/>
      <c r="H28" s="118"/>
      <c r="I28" s="118"/>
    </row>
    <row r="29" spans="1:10" hidden="1" outlineLevel="1">
      <c r="A29" s="26" t="s">
        <v>0</v>
      </c>
      <c r="B29" s="33"/>
      <c r="C29" s="90">
        <v>140000</v>
      </c>
      <c r="D29" s="55" t="s">
        <v>205</v>
      </c>
      <c r="E29" s="11" t="s">
        <v>8</v>
      </c>
      <c r="G29" s="118"/>
      <c r="H29" s="118"/>
      <c r="I29" s="118"/>
    </row>
    <row r="30" spans="1:10" hidden="1" outlineLevel="1">
      <c r="A30" s="26" t="s">
        <v>136</v>
      </c>
      <c r="B30" s="33">
        <v>51198</v>
      </c>
      <c r="C30" s="90">
        <v>140001</v>
      </c>
      <c r="D30" s="56" t="s">
        <v>206</v>
      </c>
      <c r="E30" s="4"/>
      <c r="F30" s="42"/>
      <c r="G30" s="178">
        <v>0</v>
      </c>
      <c r="H30" s="202">
        <v>342595</v>
      </c>
      <c r="I30" s="204">
        <v>342595</v>
      </c>
    </row>
    <row r="31" spans="1:10" hidden="1" outlineLevel="1">
      <c r="A31" s="26" t="s">
        <v>2</v>
      </c>
      <c r="B31" s="33">
        <v>51589</v>
      </c>
      <c r="C31" s="90">
        <v>140598</v>
      </c>
      <c r="D31" s="55" t="s">
        <v>191</v>
      </c>
      <c r="G31" s="118">
        <f>SUM(G30:G30)</f>
        <v>0</v>
      </c>
      <c r="H31" s="199">
        <v>342595</v>
      </c>
      <c r="I31" s="200">
        <v>342595</v>
      </c>
    </row>
    <row r="32" spans="1:10" hidden="1" outlineLevel="1">
      <c r="B32" s="33"/>
      <c r="G32" s="118"/>
      <c r="H32" s="118"/>
      <c r="I32" s="118"/>
    </row>
    <row r="33" spans="1:10" hidden="1" outlineLevel="1">
      <c r="A33" s="26" t="s">
        <v>0</v>
      </c>
      <c r="B33" s="33"/>
      <c r="C33" s="90">
        <v>150000</v>
      </c>
      <c r="D33" s="10" t="s">
        <v>153</v>
      </c>
      <c r="G33" s="179"/>
      <c r="H33" s="118"/>
      <c r="I33" s="118"/>
    </row>
    <row r="34" spans="1:10" hidden="1" outlineLevel="1">
      <c r="A34" s="26" t="s">
        <v>136</v>
      </c>
      <c r="B34" s="33">
        <v>1050</v>
      </c>
      <c r="C34" s="90">
        <v>150001</v>
      </c>
      <c r="D34" s="11" t="s">
        <v>18</v>
      </c>
      <c r="E34" s="11" t="s">
        <v>60</v>
      </c>
      <c r="G34" s="118">
        <v>150000</v>
      </c>
      <c r="H34" s="201">
        <v>50000</v>
      </c>
      <c r="I34" s="203">
        <v>7000</v>
      </c>
    </row>
    <row r="35" spans="1:10" hidden="1" outlineLevel="1">
      <c r="A35" s="26" t="s">
        <v>136</v>
      </c>
      <c r="B35" s="36">
        <v>1110</v>
      </c>
      <c r="C35" s="90">
        <v>150002</v>
      </c>
      <c r="D35" s="11" t="s">
        <v>87</v>
      </c>
      <c r="E35" s="11" t="s">
        <v>60</v>
      </c>
      <c r="G35" s="118">
        <v>0</v>
      </c>
      <c r="H35" s="201">
        <v>10000</v>
      </c>
      <c r="I35" s="203">
        <v>0</v>
      </c>
    </row>
    <row r="36" spans="1:10" hidden="1" outlineLevel="1">
      <c r="A36" s="26" t="s">
        <v>136</v>
      </c>
      <c r="B36" s="33">
        <v>1300</v>
      </c>
      <c r="C36" s="90">
        <v>150003</v>
      </c>
      <c r="D36" s="11" t="s">
        <v>80</v>
      </c>
      <c r="E36" s="11" t="s">
        <v>60</v>
      </c>
      <c r="G36" s="118"/>
      <c r="H36" s="201">
        <v>40000</v>
      </c>
      <c r="I36" s="203">
        <v>39000</v>
      </c>
    </row>
    <row r="37" spans="1:10" hidden="1" outlineLevel="1">
      <c r="A37" s="26" t="s">
        <v>136</v>
      </c>
      <c r="B37" s="36">
        <v>1201</v>
      </c>
      <c r="C37" s="90">
        <v>150004</v>
      </c>
      <c r="D37" s="11" t="s">
        <v>180</v>
      </c>
      <c r="E37" s="11" t="s">
        <v>60</v>
      </c>
      <c r="G37" s="118">
        <v>0</v>
      </c>
      <c r="H37" s="201">
        <v>3000</v>
      </c>
      <c r="I37" s="203">
        <v>11612</v>
      </c>
    </row>
    <row r="38" spans="1:10" hidden="1" outlineLevel="1">
      <c r="B38" s="36">
        <v>3012</v>
      </c>
      <c r="C38" s="90">
        <v>150005</v>
      </c>
      <c r="D38" s="11" t="s">
        <v>104</v>
      </c>
      <c r="G38" s="118"/>
      <c r="H38" s="201">
        <v>10000</v>
      </c>
      <c r="I38" s="203">
        <v>15550</v>
      </c>
    </row>
    <row r="39" spans="1:10" hidden="1" outlineLevel="1">
      <c r="A39" s="26" t="s">
        <v>136</v>
      </c>
      <c r="B39" s="59">
        <v>1900</v>
      </c>
      <c r="C39" s="90">
        <v>150006</v>
      </c>
      <c r="D39" s="11" t="s">
        <v>17</v>
      </c>
      <c r="E39" s="11" t="s">
        <v>60</v>
      </c>
      <c r="F39" s="74" t="s">
        <v>309</v>
      </c>
      <c r="G39" s="118"/>
      <c r="H39" s="201">
        <v>59500</v>
      </c>
      <c r="I39" s="203">
        <v>36844</v>
      </c>
    </row>
    <row r="40" spans="1:10" hidden="1" outlineLevel="1">
      <c r="A40" s="26" t="s">
        <v>136</v>
      </c>
      <c r="B40" s="59">
        <v>5081</v>
      </c>
      <c r="C40" s="90">
        <v>150007</v>
      </c>
      <c r="D40" s="11" t="s">
        <v>185</v>
      </c>
      <c r="G40" s="178"/>
      <c r="H40" s="202">
        <v>0</v>
      </c>
      <c r="I40" s="204">
        <v>207</v>
      </c>
    </row>
    <row r="41" spans="1:10" hidden="1" outlineLevel="1">
      <c r="A41" s="26" t="s">
        <v>2</v>
      </c>
      <c r="B41" s="59">
        <v>1899</v>
      </c>
      <c r="C41" s="90">
        <v>150099</v>
      </c>
      <c r="D41" s="10" t="s">
        <v>123</v>
      </c>
      <c r="G41" s="118"/>
      <c r="H41" s="199">
        <f t="shared" ref="H41:I41" si="4">SUM(H34:H40)</f>
        <v>172500</v>
      </c>
      <c r="I41" s="200">
        <f t="shared" si="4"/>
        <v>110213</v>
      </c>
    </row>
    <row r="42" spans="1:10" hidden="1" outlineLevel="1">
      <c r="B42" s="33"/>
      <c r="G42" s="118"/>
      <c r="H42" s="118"/>
      <c r="I42" s="118"/>
    </row>
    <row r="43" spans="1:10" hidden="1" outlineLevel="1">
      <c r="A43" s="26" t="s">
        <v>2</v>
      </c>
      <c r="B43" s="33"/>
      <c r="C43" s="111">
        <v>199999</v>
      </c>
      <c r="D43" s="12" t="s">
        <v>4</v>
      </c>
      <c r="E43" s="13"/>
      <c r="F43" s="134"/>
      <c r="G43" s="134"/>
      <c r="H43" s="199">
        <f t="shared" ref="H43:I43" si="5">H16+H23+H26++H31+H41</f>
        <v>2999959</v>
      </c>
      <c r="I43" s="200">
        <f t="shared" si="5"/>
        <v>3071926</v>
      </c>
    </row>
    <row r="44" spans="1:10" hidden="1" outlineLevel="1">
      <c r="B44" s="33"/>
      <c r="C44" s="112"/>
      <c r="D44" s="10"/>
      <c r="G44" s="118"/>
      <c r="H44" s="118"/>
      <c r="I44" s="118"/>
    </row>
    <row r="45" spans="1:10" ht="15">
      <c r="A45" s="26" t="s">
        <v>0</v>
      </c>
      <c r="B45" s="33"/>
      <c r="D45" s="163" t="s">
        <v>164</v>
      </c>
      <c r="E45" s="49"/>
      <c r="F45" s="135"/>
      <c r="G45" s="135"/>
      <c r="H45" s="135"/>
      <c r="I45" s="135"/>
      <c r="J45" s="15"/>
    </row>
    <row r="46" spans="1:10" ht="15" collapsed="1">
      <c r="A46" s="26" t="s">
        <v>0</v>
      </c>
      <c r="B46" s="33"/>
      <c r="C46" s="112">
        <v>200200</v>
      </c>
      <c r="D46" s="50" t="s">
        <v>5</v>
      </c>
      <c r="E46" s="50" t="s">
        <v>60</v>
      </c>
      <c r="F46" s="136"/>
      <c r="G46" s="180">
        <f>G70+G76+G77+G79</f>
        <v>26900</v>
      </c>
      <c r="H46" s="201">
        <f t="shared" ref="H46:I46" si="6">H81</f>
        <v>190010</v>
      </c>
      <c r="I46" s="203">
        <f t="shared" si="6"/>
        <v>232780</v>
      </c>
      <c r="J46" s="15"/>
    </row>
    <row r="47" spans="1:10" s="4" customFormat="1" ht="15" hidden="1" outlineLevel="1">
      <c r="A47" s="42"/>
      <c r="B47" s="33"/>
      <c r="C47" s="112"/>
      <c r="D47" s="11"/>
      <c r="E47" s="11"/>
      <c r="F47" s="26"/>
      <c r="G47" s="180"/>
      <c r="H47" s="199"/>
      <c r="I47" s="179"/>
      <c r="J47" s="15"/>
    </row>
    <row r="48" spans="1:10" s="4" customFormat="1" ht="15" hidden="1" outlineLevel="1">
      <c r="A48" s="26" t="s">
        <v>0</v>
      </c>
      <c r="B48" s="33"/>
      <c r="C48" s="112">
        <v>200100</v>
      </c>
      <c r="D48" s="10" t="s">
        <v>82</v>
      </c>
      <c r="E48" s="11"/>
      <c r="F48" s="26"/>
      <c r="G48" s="180"/>
      <c r="H48" s="201"/>
      <c r="I48" s="118"/>
      <c r="J48" s="15"/>
    </row>
    <row r="49" spans="1:10" s="4" customFormat="1" ht="15" hidden="1" outlineLevel="1">
      <c r="A49" s="26" t="s">
        <v>136</v>
      </c>
      <c r="B49" s="36">
        <v>2100</v>
      </c>
      <c r="C49" s="112">
        <v>200101</v>
      </c>
      <c r="D49" s="11" t="s">
        <v>184</v>
      </c>
      <c r="E49" s="11"/>
      <c r="F49" s="26" t="s">
        <v>316</v>
      </c>
      <c r="G49" s="180">
        <v>0</v>
      </c>
      <c r="H49" s="201">
        <v>98000</v>
      </c>
      <c r="I49" s="203">
        <v>88096</v>
      </c>
      <c r="J49" s="15"/>
    </row>
    <row r="50" spans="1:10" s="4" customFormat="1" ht="15" hidden="1" outlineLevel="1">
      <c r="A50" s="26" t="s">
        <v>136</v>
      </c>
      <c r="B50" s="36">
        <v>2101</v>
      </c>
      <c r="C50" s="112">
        <v>200102</v>
      </c>
      <c r="D50" s="11" t="s">
        <v>150</v>
      </c>
      <c r="E50" s="11"/>
      <c r="F50" s="26" t="s">
        <v>300</v>
      </c>
      <c r="G50" s="181">
        <v>0</v>
      </c>
      <c r="H50" s="202">
        <v>4000</v>
      </c>
      <c r="I50" s="204">
        <v>63866</v>
      </c>
      <c r="J50" s="15"/>
    </row>
    <row r="51" spans="1:10" s="4" customFormat="1" ht="15" hidden="1" outlineLevel="1">
      <c r="A51" s="26" t="s">
        <v>2</v>
      </c>
      <c r="B51" s="36">
        <v>2109</v>
      </c>
      <c r="C51" s="112">
        <v>200199</v>
      </c>
      <c r="D51" s="10" t="s">
        <v>151</v>
      </c>
      <c r="E51" s="11"/>
      <c r="F51" s="26"/>
      <c r="G51" s="177">
        <f t="shared" ref="G51:I51" si="7">SUM(G49:G50)</f>
        <v>0</v>
      </c>
      <c r="H51" s="199">
        <f t="shared" si="7"/>
        <v>102000</v>
      </c>
      <c r="I51" s="200">
        <f t="shared" si="7"/>
        <v>151962</v>
      </c>
      <c r="J51" s="15"/>
    </row>
    <row r="52" spans="1:10" s="4" customFormat="1" ht="15" hidden="1" outlineLevel="1">
      <c r="A52" s="26"/>
      <c r="B52" s="46"/>
      <c r="C52" s="112"/>
      <c r="D52" s="10"/>
      <c r="E52" s="11"/>
      <c r="F52" s="26"/>
      <c r="G52" s="118"/>
      <c r="H52" s="179"/>
      <c r="I52" s="179"/>
      <c r="J52" s="15"/>
    </row>
    <row r="53" spans="1:10" s="4" customFormat="1" ht="15" hidden="1" outlineLevel="1">
      <c r="A53" s="26" t="s">
        <v>0</v>
      </c>
      <c r="B53" s="33"/>
      <c r="C53" s="112">
        <v>200200</v>
      </c>
      <c r="D53" s="10" t="s">
        <v>160</v>
      </c>
      <c r="E53" s="11"/>
      <c r="F53" s="26"/>
      <c r="G53" s="118"/>
      <c r="H53" s="118"/>
      <c r="I53" s="118"/>
      <c r="J53" s="15"/>
    </row>
    <row r="54" spans="1:10" s="4" customFormat="1" ht="15" hidden="1" outlineLevel="1">
      <c r="A54" s="26" t="s">
        <v>136</v>
      </c>
      <c r="B54" s="33">
        <v>2001</v>
      </c>
      <c r="C54" s="90">
        <v>200201</v>
      </c>
      <c r="D54" s="11" t="s">
        <v>145</v>
      </c>
      <c r="E54" s="11"/>
      <c r="F54" s="26" t="s">
        <v>315</v>
      </c>
      <c r="G54" s="180">
        <v>100000</v>
      </c>
      <c r="H54" s="201">
        <v>30450</v>
      </c>
      <c r="I54" s="203">
        <v>38167</v>
      </c>
      <c r="J54" s="15"/>
    </row>
    <row r="55" spans="1:10" s="4" customFormat="1" ht="15" hidden="1" outlineLevel="1">
      <c r="A55" s="26" t="s">
        <v>136</v>
      </c>
      <c r="B55" s="33">
        <v>1711</v>
      </c>
      <c r="C55" s="90"/>
      <c r="D55" s="125" t="s">
        <v>106</v>
      </c>
      <c r="E55" s="125"/>
      <c r="F55" s="137" t="s">
        <v>107</v>
      </c>
      <c r="G55" s="182">
        <v>-100000</v>
      </c>
      <c r="H55" s="201">
        <v>0</v>
      </c>
      <c r="I55" s="203"/>
      <c r="J55" s="15"/>
    </row>
    <row r="56" spans="1:10" s="4" customFormat="1" ht="15" hidden="1" outlineLevel="1">
      <c r="A56" s="26" t="s">
        <v>136</v>
      </c>
      <c r="B56" s="33">
        <v>2003</v>
      </c>
      <c r="C56" s="90"/>
      <c r="D56" s="129" t="s">
        <v>81</v>
      </c>
      <c r="E56" s="125"/>
      <c r="F56" s="137"/>
      <c r="G56" s="182">
        <v>2600</v>
      </c>
      <c r="H56" s="201">
        <v>0</v>
      </c>
      <c r="I56" s="203"/>
      <c r="J56" s="15"/>
    </row>
    <row r="57" spans="1:10" s="4" customFormat="1" ht="15" hidden="1" outlineLevel="1">
      <c r="A57" s="26" t="s">
        <v>136</v>
      </c>
      <c r="B57" s="33">
        <v>2000</v>
      </c>
      <c r="C57" s="90">
        <v>200211</v>
      </c>
      <c r="D57" s="11" t="s">
        <v>124</v>
      </c>
      <c r="E57" s="11"/>
      <c r="F57" s="26"/>
      <c r="G57" s="180">
        <v>0</v>
      </c>
      <c r="H57" s="201">
        <v>2900</v>
      </c>
      <c r="I57" s="203">
        <v>2313</v>
      </c>
      <c r="J57" s="15"/>
    </row>
    <row r="58" spans="1:10" s="4" customFormat="1" ht="15" hidden="1" outlineLevel="1">
      <c r="A58" s="26" t="s">
        <v>136</v>
      </c>
      <c r="B58" s="33">
        <v>2010</v>
      </c>
      <c r="C58" s="90">
        <v>200212</v>
      </c>
      <c r="D58" s="11" t="s">
        <v>25</v>
      </c>
      <c r="E58" s="11"/>
      <c r="F58" s="44"/>
      <c r="G58" s="180">
        <v>4300</v>
      </c>
      <c r="H58" s="201">
        <v>4300</v>
      </c>
      <c r="I58" s="203">
        <v>3300</v>
      </c>
      <c r="J58" s="15"/>
    </row>
    <row r="59" spans="1:10" s="4" customFormat="1" ht="15" hidden="1" outlineLevel="1">
      <c r="A59" s="26" t="s">
        <v>136</v>
      </c>
      <c r="B59" s="33">
        <v>2011</v>
      </c>
      <c r="C59" s="90">
        <v>200213</v>
      </c>
      <c r="D59" s="11" t="s">
        <v>10</v>
      </c>
      <c r="E59" s="11"/>
      <c r="F59" s="26"/>
      <c r="G59" s="180">
        <v>1000</v>
      </c>
      <c r="H59" s="201">
        <v>3000</v>
      </c>
      <c r="I59" s="203">
        <v>5203</v>
      </c>
      <c r="J59" s="15"/>
    </row>
    <row r="60" spans="1:10" s="4" customFormat="1" ht="15" hidden="1" outlineLevel="1">
      <c r="A60" s="26" t="s">
        <v>136</v>
      </c>
      <c r="B60" s="33">
        <v>2013</v>
      </c>
      <c r="C60" s="90">
        <v>200214</v>
      </c>
      <c r="D60" s="11" t="s">
        <v>84</v>
      </c>
      <c r="E60" s="11"/>
      <c r="F60" s="26"/>
      <c r="G60" s="180">
        <v>0</v>
      </c>
      <c r="H60" s="201">
        <v>1500</v>
      </c>
      <c r="I60" s="203">
        <v>1261</v>
      </c>
      <c r="J60" s="15"/>
    </row>
    <row r="61" spans="1:10" s="4" customFormat="1" ht="15" hidden="1" outlineLevel="1">
      <c r="A61" s="26" t="s">
        <v>136</v>
      </c>
      <c r="B61" s="33">
        <v>2014</v>
      </c>
      <c r="C61" s="90">
        <v>200215</v>
      </c>
      <c r="D61" s="11" t="s">
        <v>26</v>
      </c>
      <c r="E61" s="11"/>
      <c r="F61" s="26"/>
      <c r="G61" s="180">
        <v>7500</v>
      </c>
      <c r="H61" s="201">
        <v>500</v>
      </c>
      <c r="I61" s="203">
        <v>3043</v>
      </c>
      <c r="J61" s="15"/>
    </row>
    <row r="62" spans="1:10" s="4" customFormat="1" ht="15" hidden="1" outlineLevel="1">
      <c r="A62" s="26" t="s">
        <v>136</v>
      </c>
      <c r="B62" s="33">
        <v>2020</v>
      </c>
      <c r="C62" s="90">
        <v>200220</v>
      </c>
      <c r="D62" s="11" t="s">
        <v>207</v>
      </c>
      <c r="E62" s="11"/>
      <c r="F62" s="90"/>
      <c r="G62" s="180">
        <v>7500</v>
      </c>
      <c r="H62" s="201">
        <v>6000</v>
      </c>
      <c r="I62" s="203">
        <v>4000</v>
      </c>
      <c r="J62" s="16"/>
    </row>
    <row r="63" spans="1:10" s="4" customFormat="1" ht="15" hidden="1" outlineLevel="1">
      <c r="A63" s="26" t="s">
        <v>136</v>
      </c>
      <c r="B63" s="33">
        <v>2021</v>
      </c>
      <c r="C63" s="90">
        <v>200221</v>
      </c>
      <c r="D63" s="11" t="s">
        <v>27</v>
      </c>
      <c r="E63" s="11"/>
      <c r="F63" s="26"/>
      <c r="G63" s="180">
        <v>2000</v>
      </c>
      <c r="H63" s="201">
        <v>5000</v>
      </c>
      <c r="I63" s="203">
        <v>740</v>
      </c>
      <c r="J63" s="15"/>
    </row>
    <row r="64" spans="1:10" s="4" customFormat="1" ht="15" hidden="1" outlineLevel="1">
      <c r="A64" s="26" t="s">
        <v>136</v>
      </c>
      <c r="B64" s="33">
        <v>2030</v>
      </c>
      <c r="C64" s="90">
        <v>200230</v>
      </c>
      <c r="D64" s="11" t="s">
        <v>11</v>
      </c>
      <c r="E64" s="11"/>
      <c r="F64" s="90"/>
      <c r="G64" s="180">
        <v>15000</v>
      </c>
      <c r="H64" s="145">
        <v>13000</v>
      </c>
      <c r="I64" s="209">
        <v>14982</v>
      </c>
      <c r="J64" s="15"/>
    </row>
    <row r="65" spans="1:10" s="4" customFormat="1" ht="15" hidden="1" outlineLevel="1">
      <c r="A65" s="26" t="s">
        <v>136</v>
      </c>
      <c r="B65" s="33">
        <v>2050</v>
      </c>
      <c r="C65" s="90">
        <v>200250</v>
      </c>
      <c r="D65" s="11" t="s">
        <v>28</v>
      </c>
      <c r="E65" s="11"/>
      <c r="F65" s="26"/>
      <c r="G65" s="180">
        <v>3500</v>
      </c>
      <c r="H65" s="201">
        <v>3500</v>
      </c>
      <c r="I65" s="203">
        <v>1865</v>
      </c>
      <c r="J65" s="15"/>
    </row>
    <row r="66" spans="1:10" s="4" customFormat="1" ht="15" hidden="1" outlineLevel="1">
      <c r="A66" s="26" t="s">
        <v>136</v>
      </c>
      <c r="B66" s="33">
        <v>2070</v>
      </c>
      <c r="C66" s="90">
        <v>200270</v>
      </c>
      <c r="D66" s="11" t="s">
        <v>83</v>
      </c>
      <c r="E66" s="11"/>
      <c r="F66" s="26"/>
      <c r="G66" s="180">
        <v>7500</v>
      </c>
      <c r="H66" s="201">
        <v>7500</v>
      </c>
      <c r="I66" s="203">
        <v>0</v>
      </c>
      <c r="J66" s="15"/>
    </row>
    <row r="67" spans="1:10" s="4" customFormat="1" ht="15" hidden="1" outlineLevel="1">
      <c r="A67" s="26" t="s">
        <v>136</v>
      </c>
      <c r="B67" s="33">
        <v>2071</v>
      </c>
      <c r="C67" s="90">
        <v>200271</v>
      </c>
      <c r="D67" s="11" t="s">
        <v>208</v>
      </c>
      <c r="E67" s="11"/>
      <c r="F67" s="90" t="s">
        <v>323</v>
      </c>
      <c r="G67" s="180">
        <v>5000</v>
      </c>
      <c r="H67" s="201">
        <v>5000</v>
      </c>
      <c r="I67" s="203">
        <v>5502</v>
      </c>
      <c r="J67" s="15"/>
    </row>
    <row r="68" spans="1:10" s="4" customFormat="1" ht="15" hidden="1" outlineLevel="1">
      <c r="A68" s="26" t="s">
        <v>136</v>
      </c>
      <c r="B68" s="33">
        <v>2080</v>
      </c>
      <c r="C68" s="113" t="s">
        <v>209</v>
      </c>
      <c r="D68" s="164" t="s">
        <v>29</v>
      </c>
      <c r="E68" s="65"/>
      <c r="F68" s="44"/>
      <c r="G68" s="180">
        <v>1000</v>
      </c>
      <c r="H68" s="201">
        <v>1000</v>
      </c>
      <c r="I68" s="203">
        <v>0</v>
      </c>
      <c r="J68" s="15"/>
    </row>
    <row r="69" spans="1:10" s="4" customFormat="1" ht="15" hidden="1" outlineLevel="1">
      <c r="A69" s="26" t="s">
        <v>136</v>
      </c>
      <c r="B69" s="33">
        <v>2090</v>
      </c>
      <c r="C69" s="90">
        <v>200290</v>
      </c>
      <c r="D69" s="11" t="s">
        <v>13</v>
      </c>
      <c r="E69" s="11"/>
      <c r="F69" s="26"/>
      <c r="G69" s="181">
        <v>1500</v>
      </c>
      <c r="H69" s="202">
        <v>1500</v>
      </c>
      <c r="I69" s="204">
        <v>650</v>
      </c>
      <c r="J69" s="15"/>
    </row>
    <row r="70" spans="1:10" s="4" customFormat="1" ht="15" hidden="1" outlineLevel="1">
      <c r="A70" s="26" t="s">
        <v>2</v>
      </c>
      <c r="B70" s="36">
        <v>2099</v>
      </c>
      <c r="C70" s="112">
        <v>200299</v>
      </c>
      <c r="D70" s="10" t="s">
        <v>144</v>
      </c>
      <c r="E70" s="11"/>
      <c r="F70" s="26"/>
      <c r="G70" s="177">
        <f t="shared" ref="G70:I70" si="8">SUM(G54:G69)</f>
        <v>58400</v>
      </c>
      <c r="H70" s="199">
        <f t="shared" si="8"/>
        <v>85150</v>
      </c>
      <c r="I70" s="200">
        <f t="shared" si="8"/>
        <v>81026</v>
      </c>
      <c r="J70" s="15"/>
    </row>
    <row r="71" spans="1:10" s="4" customFormat="1" ht="15" hidden="1" outlineLevel="1">
      <c r="A71" s="42"/>
      <c r="B71" s="33"/>
      <c r="C71" s="112"/>
      <c r="D71" s="11"/>
      <c r="E71" s="11"/>
      <c r="F71" s="26"/>
      <c r="G71" s="118"/>
      <c r="H71" s="201"/>
      <c r="I71" s="118"/>
      <c r="J71" s="15"/>
    </row>
    <row r="72" spans="1:10" s="4" customFormat="1" ht="15" hidden="1" outlineLevel="1">
      <c r="A72" s="26" t="s">
        <v>0</v>
      </c>
      <c r="B72" s="33"/>
      <c r="C72" s="112">
        <v>200300</v>
      </c>
      <c r="D72" s="10" t="s">
        <v>154</v>
      </c>
      <c r="E72" s="11"/>
      <c r="F72" s="26"/>
      <c r="G72" s="118"/>
      <c r="H72" s="201"/>
      <c r="I72" s="118"/>
      <c r="J72" s="15"/>
    </row>
    <row r="73" spans="1:10" s="4" customFormat="1" ht="15" hidden="1" outlineLevel="1">
      <c r="A73" s="26" t="s">
        <v>136</v>
      </c>
      <c r="B73" s="33">
        <v>2012</v>
      </c>
      <c r="C73" s="90">
        <v>200301</v>
      </c>
      <c r="D73" s="11" t="s">
        <v>210</v>
      </c>
      <c r="E73" s="11"/>
      <c r="F73" s="26"/>
      <c r="G73" s="118"/>
      <c r="H73" s="201">
        <v>10</v>
      </c>
      <c r="I73" s="203">
        <v>10</v>
      </c>
      <c r="J73" s="15"/>
    </row>
    <row r="74" spans="1:10" s="4" customFormat="1" ht="15" hidden="1" outlineLevel="1">
      <c r="A74" s="26" t="s">
        <v>136</v>
      </c>
      <c r="B74" s="36">
        <v>2022</v>
      </c>
      <c r="C74" s="90">
        <v>200301</v>
      </c>
      <c r="D74" s="11" t="s">
        <v>211</v>
      </c>
      <c r="E74" s="11"/>
      <c r="F74" s="26"/>
      <c r="G74" s="118"/>
      <c r="H74" s="201">
        <v>2850</v>
      </c>
      <c r="I74" s="203">
        <v>0</v>
      </c>
      <c r="J74" s="15"/>
    </row>
    <row r="75" spans="1:10" s="4" customFormat="1" ht="15" hidden="1" outlineLevel="1">
      <c r="A75" s="26" t="s">
        <v>136</v>
      </c>
      <c r="B75" s="36">
        <v>2023</v>
      </c>
      <c r="C75" s="90">
        <v>200303</v>
      </c>
      <c r="D75" s="11" t="s">
        <v>212</v>
      </c>
      <c r="E75" s="11"/>
      <c r="F75" s="31"/>
      <c r="G75" s="118"/>
      <c r="H75" s="202">
        <v>0</v>
      </c>
      <c r="I75" s="204">
        <v>0</v>
      </c>
      <c r="J75" s="15"/>
    </row>
    <row r="76" spans="1:10" s="4" customFormat="1" ht="15" hidden="1" outlineLevel="1">
      <c r="A76" s="26"/>
      <c r="B76" s="34"/>
      <c r="C76" s="90"/>
      <c r="D76" s="67" t="s">
        <v>19</v>
      </c>
      <c r="E76" s="68"/>
      <c r="F76" s="72" t="s">
        <v>171</v>
      </c>
      <c r="G76" s="183">
        <v>-40000</v>
      </c>
      <c r="H76" s="202"/>
      <c r="I76" s="204"/>
      <c r="J76" s="15"/>
    </row>
    <row r="77" spans="1:10" s="4" customFormat="1" ht="15" hidden="1" outlineLevel="1">
      <c r="A77" s="26" t="s">
        <v>2</v>
      </c>
      <c r="B77" s="36">
        <v>2029</v>
      </c>
      <c r="C77" s="112">
        <v>200399</v>
      </c>
      <c r="D77" s="10" t="s">
        <v>12</v>
      </c>
      <c r="E77" s="11"/>
      <c r="F77" s="26"/>
      <c r="G77" s="177">
        <v>3500</v>
      </c>
      <c r="H77" s="199">
        <f t="shared" ref="H77:I77" si="9">SUM(H73:H75)</f>
        <v>2860</v>
      </c>
      <c r="I77" s="200">
        <f t="shared" si="9"/>
        <v>10</v>
      </c>
      <c r="J77" s="15"/>
    </row>
    <row r="78" spans="1:10" s="4" customFormat="1" ht="15" hidden="1" outlineLevel="1">
      <c r="A78" s="26"/>
      <c r="B78" s="35"/>
      <c r="C78" s="112"/>
      <c r="D78" s="10"/>
      <c r="E78" s="11"/>
      <c r="F78" s="26"/>
      <c r="G78" s="179"/>
      <c r="H78" s="199"/>
      <c r="I78" s="179"/>
      <c r="J78" s="15"/>
    </row>
    <row r="79" spans="1:10" s="4" customFormat="1" ht="15" hidden="1" outlineLevel="1">
      <c r="A79" s="26"/>
      <c r="B79" s="60">
        <v>2015</v>
      </c>
      <c r="C79" s="112"/>
      <c r="D79" s="67" t="s">
        <v>172</v>
      </c>
      <c r="E79" s="68"/>
      <c r="F79" s="71" t="s">
        <v>174</v>
      </c>
      <c r="G79" s="184">
        <v>5000</v>
      </c>
      <c r="H79" s="199"/>
      <c r="I79" s="179"/>
      <c r="J79" s="15"/>
    </row>
    <row r="80" spans="1:10" s="4" customFormat="1" ht="15" hidden="1" outlineLevel="1">
      <c r="A80" s="26" t="s">
        <v>136</v>
      </c>
      <c r="B80" s="35"/>
      <c r="C80" s="112">
        <v>200500</v>
      </c>
      <c r="D80" s="11" t="s">
        <v>301</v>
      </c>
      <c r="E80" s="11"/>
      <c r="F80" s="26"/>
      <c r="G80" s="180">
        <v>0</v>
      </c>
      <c r="H80" s="201">
        <v>0</v>
      </c>
      <c r="I80" s="203">
        <v>-218</v>
      </c>
      <c r="J80" s="15"/>
    </row>
    <row r="81" spans="1:10" s="4" customFormat="1" ht="15" hidden="1" outlineLevel="1">
      <c r="A81" s="26" t="s">
        <v>2</v>
      </c>
      <c r="B81" s="33">
        <v>2999</v>
      </c>
      <c r="C81" s="112">
        <v>299999</v>
      </c>
      <c r="D81" s="10" t="s">
        <v>6</v>
      </c>
      <c r="E81" s="11"/>
      <c r="F81" s="26"/>
      <c r="G81" s="118"/>
      <c r="H81" s="199">
        <f t="shared" ref="H81:I81" si="10">H51+H70+H77+H80</f>
        <v>190010</v>
      </c>
      <c r="I81" s="200">
        <f t="shared" si="10"/>
        <v>232780</v>
      </c>
      <c r="J81" s="15"/>
    </row>
    <row r="82" spans="1:10" hidden="1" outlineLevel="1">
      <c r="B82" s="33"/>
      <c r="G82" s="118"/>
      <c r="H82" s="201"/>
      <c r="I82" s="118"/>
    </row>
    <row r="83" spans="1:10" collapsed="1">
      <c r="A83" s="26" t="s">
        <v>0</v>
      </c>
      <c r="B83" s="33"/>
      <c r="C83" s="112">
        <v>310000</v>
      </c>
      <c r="D83" s="51" t="s">
        <v>213</v>
      </c>
      <c r="E83" s="51" t="s">
        <v>60</v>
      </c>
      <c r="F83" s="138"/>
      <c r="G83" s="180">
        <f t="shared" ref="G83:I83" si="11">G113</f>
        <v>89000</v>
      </c>
      <c r="H83" s="201">
        <f t="shared" si="11"/>
        <v>160500</v>
      </c>
      <c r="I83" s="203">
        <f t="shared" si="11"/>
        <v>205403</v>
      </c>
    </row>
    <row r="84" spans="1:10" hidden="1" outlineLevel="1" collapsed="1">
      <c r="A84" s="26" t="s">
        <v>0</v>
      </c>
      <c r="B84" s="33"/>
      <c r="C84" s="90">
        <v>310100</v>
      </c>
      <c r="D84" s="10" t="s">
        <v>51</v>
      </c>
      <c r="E84" s="10"/>
      <c r="G84" s="177">
        <f t="shared" ref="G84:I84" si="12">G88</f>
        <v>13000</v>
      </c>
      <c r="H84" s="199">
        <f t="shared" si="12"/>
        <v>19500</v>
      </c>
      <c r="I84" s="200">
        <f t="shared" si="12"/>
        <v>17458</v>
      </c>
    </row>
    <row r="85" spans="1:10" ht="15" hidden="1" customHeight="1" outlineLevel="2">
      <c r="A85" s="26" t="s">
        <v>136</v>
      </c>
      <c r="B85" s="33">
        <v>6001</v>
      </c>
      <c r="C85" s="90">
        <v>310101</v>
      </c>
      <c r="D85" s="11" t="s">
        <v>214</v>
      </c>
      <c r="G85" s="180">
        <v>2000</v>
      </c>
      <c r="H85" s="201">
        <v>2500</v>
      </c>
      <c r="I85" s="203">
        <v>0</v>
      </c>
      <c r="J85" s="15"/>
    </row>
    <row r="86" spans="1:10" ht="15" hidden="1" customHeight="1" outlineLevel="2">
      <c r="A86" s="26" t="s">
        <v>136</v>
      </c>
      <c r="B86" s="33">
        <v>60011</v>
      </c>
      <c r="C86" s="90">
        <v>310102</v>
      </c>
      <c r="D86" s="11" t="s">
        <v>215</v>
      </c>
      <c r="G86" s="180">
        <v>6000</v>
      </c>
      <c r="H86" s="201">
        <v>10000</v>
      </c>
      <c r="I86" s="203">
        <v>9369</v>
      </c>
      <c r="J86" s="15"/>
    </row>
    <row r="87" spans="1:10" ht="15" hidden="1" outlineLevel="2">
      <c r="A87" s="26" t="s">
        <v>136</v>
      </c>
      <c r="B87" s="33">
        <v>60012</v>
      </c>
      <c r="C87" s="90">
        <v>310103</v>
      </c>
      <c r="D87" s="11" t="s">
        <v>216</v>
      </c>
      <c r="G87" s="181">
        <v>5000</v>
      </c>
      <c r="H87" s="202">
        <v>7000</v>
      </c>
      <c r="I87" s="204">
        <v>8089</v>
      </c>
      <c r="J87" s="15"/>
    </row>
    <row r="88" spans="1:10" ht="15" hidden="1" outlineLevel="2">
      <c r="A88" s="26" t="s">
        <v>2</v>
      </c>
      <c r="B88" s="34" t="s">
        <v>158</v>
      </c>
      <c r="C88" s="90">
        <v>310199</v>
      </c>
      <c r="D88" s="10" t="s">
        <v>53</v>
      </c>
      <c r="E88" s="10"/>
      <c r="G88" s="177">
        <f t="shared" ref="G88:I88" si="13">SUM(G85:G87)</f>
        <v>13000</v>
      </c>
      <c r="H88" s="199">
        <f t="shared" si="13"/>
        <v>19500</v>
      </c>
      <c r="I88" s="200">
        <f t="shared" si="13"/>
        <v>17458</v>
      </c>
      <c r="J88" s="15"/>
    </row>
    <row r="89" spans="1:10" ht="15" hidden="1" outlineLevel="1">
      <c r="B89" s="33"/>
      <c r="G89" s="118"/>
      <c r="H89" s="118"/>
      <c r="I89" s="118"/>
      <c r="J89" s="15"/>
    </row>
    <row r="90" spans="1:10" ht="15" hidden="1" outlineLevel="1" collapsed="1">
      <c r="A90" s="26" t="s">
        <v>0</v>
      </c>
      <c r="B90" s="33"/>
      <c r="C90" s="90">
        <v>310200</v>
      </c>
      <c r="D90" s="10" t="s">
        <v>52</v>
      </c>
      <c r="E90" s="10"/>
      <c r="G90" s="177">
        <f t="shared" ref="G90:I90" si="14">G94</f>
        <v>32000</v>
      </c>
      <c r="H90" s="199">
        <f t="shared" si="14"/>
        <v>32000</v>
      </c>
      <c r="I90" s="200">
        <f t="shared" si="14"/>
        <v>30573</v>
      </c>
      <c r="J90" s="15"/>
    </row>
    <row r="91" spans="1:10" ht="15" hidden="1" outlineLevel="2">
      <c r="A91" s="26" t="s">
        <v>136</v>
      </c>
      <c r="B91" s="33">
        <v>6000</v>
      </c>
      <c r="C91" s="90">
        <v>310201</v>
      </c>
      <c r="D91" s="11" t="s">
        <v>217</v>
      </c>
      <c r="G91" s="180">
        <v>14000</v>
      </c>
      <c r="H91" s="201">
        <v>14000</v>
      </c>
      <c r="I91" s="203">
        <v>2110</v>
      </c>
      <c r="J91" s="15"/>
    </row>
    <row r="92" spans="1:10" ht="15" hidden="1" outlineLevel="2">
      <c r="A92" s="26" t="s">
        <v>136</v>
      </c>
      <c r="B92" s="33">
        <v>60001</v>
      </c>
      <c r="C92" s="90">
        <v>310202</v>
      </c>
      <c r="D92" s="11" t="s">
        <v>218</v>
      </c>
      <c r="G92" s="180">
        <v>12000</v>
      </c>
      <c r="H92" s="201">
        <v>12000</v>
      </c>
      <c r="I92" s="203">
        <v>24580</v>
      </c>
      <c r="J92" s="15"/>
    </row>
    <row r="93" spans="1:10" ht="15" hidden="1" outlineLevel="2">
      <c r="A93" s="26" t="s">
        <v>136</v>
      </c>
      <c r="B93" s="33">
        <v>60002</v>
      </c>
      <c r="C93" s="90">
        <v>310203</v>
      </c>
      <c r="D93" s="11" t="s">
        <v>219</v>
      </c>
      <c r="G93" s="181">
        <v>6000</v>
      </c>
      <c r="H93" s="202">
        <v>6000</v>
      </c>
      <c r="I93" s="204">
        <v>3883</v>
      </c>
      <c r="J93" s="15"/>
    </row>
    <row r="94" spans="1:10" ht="15" hidden="1" outlineLevel="2">
      <c r="A94" s="26" t="s">
        <v>2</v>
      </c>
      <c r="B94" s="34" t="s">
        <v>158</v>
      </c>
      <c r="C94" s="90">
        <v>310299</v>
      </c>
      <c r="D94" s="10" t="s">
        <v>54</v>
      </c>
      <c r="E94" s="10"/>
      <c r="G94" s="177">
        <f t="shared" ref="G94:I94" si="15">SUM(G91:G93)</f>
        <v>32000</v>
      </c>
      <c r="H94" s="199">
        <f t="shared" si="15"/>
        <v>32000</v>
      </c>
      <c r="I94" s="200">
        <f t="shared" si="15"/>
        <v>30573</v>
      </c>
      <c r="J94" s="15"/>
    </row>
    <row r="95" spans="1:10" ht="15" hidden="1" outlineLevel="1">
      <c r="B95" s="33"/>
      <c r="G95" s="118"/>
      <c r="H95" s="118"/>
      <c r="I95" s="118"/>
      <c r="J95" s="15"/>
    </row>
    <row r="96" spans="1:10" ht="15" hidden="1" outlineLevel="1" collapsed="1">
      <c r="A96" s="26" t="s">
        <v>0</v>
      </c>
      <c r="B96" s="33" t="s">
        <v>85</v>
      </c>
      <c r="C96" s="90">
        <v>310300</v>
      </c>
      <c r="D96" s="10" t="s">
        <v>220</v>
      </c>
      <c r="E96" s="10"/>
      <c r="G96" s="177">
        <f t="shared" ref="G96:I96" si="16">G100</f>
        <v>29000</v>
      </c>
      <c r="H96" s="199">
        <f t="shared" si="16"/>
        <v>29000</v>
      </c>
      <c r="I96" s="200">
        <f t="shared" si="16"/>
        <v>9108</v>
      </c>
      <c r="J96" s="15"/>
    </row>
    <row r="97" spans="1:10" ht="15" hidden="1" outlineLevel="2">
      <c r="A97" s="26" t="s">
        <v>136</v>
      </c>
      <c r="B97" s="33">
        <v>6002</v>
      </c>
      <c r="C97" s="90">
        <v>310301</v>
      </c>
      <c r="D97" s="11" t="s">
        <v>221</v>
      </c>
      <c r="G97" s="180">
        <v>4000</v>
      </c>
      <c r="H97" s="201">
        <v>4000</v>
      </c>
      <c r="I97" s="203">
        <v>0</v>
      </c>
      <c r="J97" s="15"/>
    </row>
    <row r="98" spans="1:10" ht="15" hidden="1" outlineLevel="2">
      <c r="A98" s="26" t="s">
        <v>136</v>
      </c>
      <c r="B98" s="33">
        <v>60021</v>
      </c>
      <c r="C98" s="90">
        <v>310302</v>
      </c>
      <c r="D98" s="11" t="s">
        <v>222</v>
      </c>
      <c r="G98" s="180">
        <v>22000</v>
      </c>
      <c r="H98" s="201">
        <v>22000</v>
      </c>
      <c r="I98" s="203">
        <v>8994</v>
      </c>
      <c r="J98" s="15"/>
    </row>
    <row r="99" spans="1:10" ht="15" hidden="1" outlineLevel="2">
      <c r="A99" s="26" t="s">
        <v>136</v>
      </c>
      <c r="B99" s="33">
        <v>60022</v>
      </c>
      <c r="C99" s="90">
        <v>310303</v>
      </c>
      <c r="D99" s="11" t="s">
        <v>223</v>
      </c>
      <c r="G99" s="181">
        <v>3000</v>
      </c>
      <c r="H99" s="202">
        <v>3000</v>
      </c>
      <c r="I99" s="204">
        <v>114</v>
      </c>
      <c r="J99" s="15"/>
    </row>
    <row r="100" spans="1:10" ht="15" hidden="1" outlineLevel="2">
      <c r="A100" s="26" t="s">
        <v>2</v>
      </c>
      <c r="B100" s="34" t="s">
        <v>158</v>
      </c>
      <c r="C100" s="112">
        <v>310399</v>
      </c>
      <c r="D100" s="10" t="s">
        <v>55</v>
      </c>
      <c r="E100" s="10"/>
      <c r="G100" s="177">
        <f t="shared" ref="G100:I100" si="17">SUM(G97:G99)</f>
        <v>29000</v>
      </c>
      <c r="H100" s="199">
        <f t="shared" si="17"/>
        <v>29000</v>
      </c>
      <c r="I100" s="200">
        <f t="shared" si="17"/>
        <v>9108</v>
      </c>
      <c r="J100" s="15"/>
    </row>
    <row r="101" spans="1:10" ht="15" hidden="1" outlineLevel="1">
      <c r="B101" s="33"/>
      <c r="G101" s="118"/>
      <c r="H101" s="118"/>
      <c r="I101" s="118"/>
      <c r="J101" s="15"/>
    </row>
    <row r="102" spans="1:10" ht="15" hidden="1" outlineLevel="1" collapsed="1">
      <c r="A102" s="26" t="s">
        <v>0</v>
      </c>
      <c r="B102" s="33"/>
      <c r="C102" s="112">
        <v>310400</v>
      </c>
      <c r="D102" s="10" t="s">
        <v>56</v>
      </c>
      <c r="E102" s="10"/>
      <c r="G102" s="177">
        <f t="shared" ref="G102:I102" si="18">G108</f>
        <v>25000</v>
      </c>
      <c r="H102" s="199">
        <f t="shared" si="18"/>
        <v>25000</v>
      </c>
      <c r="I102" s="200">
        <f t="shared" si="18"/>
        <v>40072</v>
      </c>
      <c r="J102" s="16"/>
    </row>
    <row r="103" spans="1:10" ht="15" hidden="1" customHeight="1" outlineLevel="2">
      <c r="A103" s="26" t="s">
        <v>136</v>
      </c>
      <c r="B103" s="33">
        <v>6502</v>
      </c>
      <c r="C103" s="90">
        <v>310401</v>
      </c>
      <c r="D103" s="11" t="s">
        <v>224</v>
      </c>
      <c r="G103" s="180">
        <v>6000</v>
      </c>
      <c r="H103" s="201">
        <v>6000</v>
      </c>
      <c r="I103" s="203">
        <v>9894</v>
      </c>
      <c r="J103" s="15"/>
    </row>
    <row r="104" spans="1:10" ht="15" hidden="1" outlineLevel="2">
      <c r="A104" s="26" t="s">
        <v>136</v>
      </c>
      <c r="B104" s="33">
        <v>6500</v>
      </c>
      <c r="C104" s="90">
        <v>310402</v>
      </c>
      <c r="D104" s="11" t="s">
        <v>225</v>
      </c>
      <c r="G104" s="180">
        <v>12000</v>
      </c>
      <c r="H104" s="201">
        <v>12000</v>
      </c>
      <c r="I104" s="203">
        <v>20042</v>
      </c>
      <c r="J104" s="15"/>
    </row>
    <row r="105" spans="1:10" ht="15" hidden="1" outlineLevel="2">
      <c r="A105" s="26" t="s">
        <v>136</v>
      </c>
      <c r="B105" s="33">
        <v>6501</v>
      </c>
      <c r="C105" s="90">
        <v>310403</v>
      </c>
      <c r="D105" s="11" t="s">
        <v>226</v>
      </c>
      <c r="G105" s="180">
        <v>2000</v>
      </c>
      <c r="H105" s="201">
        <v>2000</v>
      </c>
      <c r="I105" s="203">
        <v>1743</v>
      </c>
      <c r="J105" s="15"/>
    </row>
    <row r="106" spans="1:10" ht="15" hidden="1" outlineLevel="2">
      <c r="A106" s="26" t="s">
        <v>136</v>
      </c>
      <c r="B106" s="34" t="s">
        <v>85</v>
      </c>
      <c r="C106" s="90">
        <v>310405</v>
      </c>
      <c r="D106" s="11" t="s">
        <v>227</v>
      </c>
      <c r="G106" s="180">
        <v>0</v>
      </c>
      <c r="H106" s="201">
        <v>3000</v>
      </c>
      <c r="I106" s="203">
        <v>4145</v>
      </c>
      <c r="J106" s="15"/>
    </row>
    <row r="107" spans="1:10" ht="15" hidden="1" outlineLevel="2">
      <c r="A107" s="26" t="s">
        <v>136</v>
      </c>
      <c r="B107" s="34" t="s">
        <v>85</v>
      </c>
      <c r="C107" s="90">
        <v>310408</v>
      </c>
      <c r="D107" s="11" t="s">
        <v>228</v>
      </c>
      <c r="G107" s="181">
        <v>5000</v>
      </c>
      <c r="H107" s="202">
        <v>2000</v>
      </c>
      <c r="I107" s="204">
        <v>4248</v>
      </c>
      <c r="J107" s="15"/>
    </row>
    <row r="108" spans="1:10" ht="15" hidden="1" outlineLevel="2">
      <c r="A108" s="26" t="s">
        <v>2</v>
      </c>
      <c r="B108" s="34" t="s">
        <v>158</v>
      </c>
      <c r="C108" s="112">
        <v>310499</v>
      </c>
      <c r="D108" s="10" t="s">
        <v>71</v>
      </c>
      <c r="E108" s="10"/>
      <c r="G108" s="177">
        <f t="shared" ref="G108:I108" si="19">SUM(G103:G107)</f>
        <v>25000</v>
      </c>
      <c r="H108" s="199">
        <f t="shared" si="19"/>
        <v>25000</v>
      </c>
      <c r="I108" s="200">
        <f t="shared" si="19"/>
        <v>40072</v>
      </c>
      <c r="J108" s="15"/>
    </row>
    <row r="109" spans="1:10" ht="15" hidden="1" outlineLevel="1">
      <c r="A109" s="44" t="s">
        <v>136</v>
      </c>
      <c r="B109" s="34"/>
      <c r="C109" s="90">
        <v>310501</v>
      </c>
      <c r="D109" s="11" t="s">
        <v>193</v>
      </c>
      <c r="G109" s="180">
        <v>0</v>
      </c>
      <c r="H109" s="201">
        <v>55000</v>
      </c>
      <c r="I109" s="203">
        <v>103192</v>
      </c>
      <c r="J109" s="15"/>
    </row>
    <row r="110" spans="1:10" ht="15" hidden="1" outlineLevel="1">
      <c r="A110" s="44" t="s">
        <v>136</v>
      </c>
      <c r="B110" s="34"/>
      <c r="C110" s="90">
        <v>310505</v>
      </c>
      <c r="D110" s="11" t="s">
        <v>229</v>
      </c>
      <c r="E110" s="10"/>
      <c r="G110" s="179"/>
      <c r="H110" s="199"/>
      <c r="I110" s="203">
        <v>5000</v>
      </c>
      <c r="J110" s="15"/>
    </row>
    <row r="111" spans="1:10" ht="15" hidden="1" outlineLevel="1">
      <c r="B111" s="34"/>
      <c r="D111" s="10"/>
      <c r="E111" s="10"/>
      <c r="G111" s="179"/>
      <c r="H111" s="179"/>
      <c r="I111" s="179"/>
      <c r="J111" s="15"/>
    </row>
    <row r="112" spans="1:10" ht="15" hidden="1" outlineLevel="1">
      <c r="B112" s="34"/>
      <c r="D112" s="125" t="s">
        <v>173</v>
      </c>
      <c r="E112" s="125"/>
      <c r="F112" s="139" t="s">
        <v>125</v>
      </c>
      <c r="G112" s="180">
        <v>-10000</v>
      </c>
      <c r="H112" s="194"/>
      <c r="I112" s="194"/>
      <c r="J112" s="15"/>
    </row>
    <row r="113" spans="1:13" ht="15" hidden="1" outlineLevel="1">
      <c r="A113" s="26" t="s">
        <v>2</v>
      </c>
      <c r="B113" s="33"/>
      <c r="D113" s="10" t="s">
        <v>39</v>
      </c>
      <c r="E113" s="10"/>
      <c r="G113" s="177">
        <f>G88+G94+G100+G108+G112</f>
        <v>89000</v>
      </c>
      <c r="H113" s="199">
        <f t="shared" ref="H113:I113" si="20">H88+H94+H100+H108+H109+H110</f>
        <v>160500</v>
      </c>
      <c r="I113" s="200">
        <f t="shared" si="20"/>
        <v>205403</v>
      </c>
      <c r="J113" s="16"/>
    </row>
    <row r="114" spans="1:13" hidden="1" outlineLevel="1">
      <c r="B114" s="33"/>
      <c r="G114" s="118"/>
      <c r="H114" s="118"/>
      <c r="I114" s="118"/>
    </row>
    <row r="115" spans="1:13" ht="15" customHeight="1" collapsed="1">
      <c r="A115" s="26" t="s">
        <v>0</v>
      </c>
      <c r="B115" s="33"/>
      <c r="C115" s="112">
        <v>320000</v>
      </c>
      <c r="D115" s="52" t="s">
        <v>45</v>
      </c>
      <c r="E115" s="52" t="s">
        <v>61</v>
      </c>
      <c r="F115" s="140"/>
      <c r="G115" s="180">
        <f t="shared" ref="G115:I115" si="21">G135</f>
        <v>207375</v>
      </c>
      <c r="H115" s="201">
        <f t="shared" si="21"/>
        <v>91500</v>
      </c>
      <c r="I115" s="203">
        <f t="shared" si="21"/>
        <v>66296</v>
      </c>
      <c r="J115" s="85"/>
      <c r="K115" s="15"/>
      <c r="L115" s="8"/>
      <c r="M115" s="79"/>
    </row>
    <row r="116" spans="1:13" s="4" customFormat="1" ht="15" hidden="1" outlineLevel="1">
      <c r="A116" s="26" t="s">
        <v>0</v>
      </c>
      <c r="B116" s="33"/>
      <c r="C116" s="112">
        <v>320100</v>
      </c>
      <c r="D116" s="55" t="s">
        <v>50</v>
      </c>
      <c r="E116" s="56" t="s">
        <v>61</v>
      </c>
      <c r="F116" s="141"/>
      <c r="G116" s="180"/>
      <c r="H116" s="199"/>
      <c r="I116" s="179"/>
      <c r="J116"/>
      <c r="K116" s="15"/>
      <c r="L116" s="8"/>
      <c r="M116" s="21"/>
    </row>
    <row r="117" spans="1:13" s="4" customFormat="1" ht="15" hidden="1" outlineLevel="1">
      <c r="A117" s="26" t="s">
        <v>136</v>
      </c>
      <c r="B117" s="33">
        <v>4042</v>
      </c>
      <c r="C117" s="90">
        <v>320101</v>
      </c>
      <c r="D117" s="56" t="s">
        <v>230</v>
      </c>
      <c r="E117" s="56" t="s">
        <v>61</v>
      </c>
      <c r="F117" s="141"/>
      <c r="G117" s="180">
        <v>3000</v>
      </c>
      <c r="H117" s="201">
        <v>3000</v>
      </c>
      <c r="I117" s="203">
        <v>0</v>
      </c>
      <c r="J117"/>
      <c r="K117" s="15"/>
      <c r="L117" s="8"/>
      <c r="M117"/>
    </row>
    <row r="118" spans="1:13" s="4" customFormat="1" ht="15" hidden="1" outlineLevel="1">
      <c r="A118" s="26" t="s">
        <v>136</v>
      </c>
      <c r="B118" s="33">
        <v>4040</v>
      </c>
      <c r="C118" s="90">
        <v>320102</v>
      </c>
      <c r="D118" s="56" t="s">
        <v>231</v>
      </c>
      <c r="E118" s="56" t="s">
        <v>61</v>
      </c>
      <c r="F118" s="141"/>
      <c r="G118" s="180">
        <v>8000</v>
      </c>
      <c r="H118" s="201">
        <v>8000</v>
      </c>
      <c r="I118" s="203">
        <v>37</v>
      </c>
      <c r="J118"/>
      <c r="K118" s="15"/>
      <c r="L118" s="8"/>
      <c r="M118" s="21"/>
    </row>
    <row r="119" spans="1:13" s="4" customFormat="1" ht="15" hidden="1" outlineLevel="1">
      <c r="A119" s="26" t="s">
        <v>136</v>
      </c>
      <c r="B119" s="33">
        <v>4043</v>
      </c>
      <c r="C119" s="90">
        <v>320103</v>
      </c>
      <c r="D119" s="56" t="s">
        <v>232</v>
      </c>
      <c r="E119" s="56" t="s">
        <v>61</v>
      </c>
      <c r="F119" s="141"/>
      <c r="G119" s="181">
        <v>2000</v>
      </c>
      <c r="H119" s="202">
        <v>2000</v>
      </c>
      <c r="I119" s="204">
        <v>0</v>
      </c>
      <c r="J119"/>
      <c r="K119" s="15"/>
      <c r="L119" s="8"/>
      <c r="M119"/>
    </row>
    <row r="120" spans="1:13" s="4" customFormat="1" ht="15" hidden="1" outlineLevel="1">
      <c r="A120" s="26" t="s">
        <v>2</v>
      </c>
      <c r="B120" s="34" t="s">
        <v>181</v>
      </c>
      <c r="C120" s="112">
        <v>320199</v>
      </c>
      <c r="D120" s="55" t="s">
        <v>65</v>
      </c>
      <c r="E120" s="56" t="s">
        <v>61</v>
      </c>
      <c r="F120" s="141"/>
      <c r="G120" s="177">
        <f t="shared" ref="G120:I120" si="22">SUM(G117:G119)</f>
        <v>13000</v>
      </c>
      <c r="H120" s="199">
        <f t="shared" si="22"/>
        <v>13000</v>
      </c>
      <c r="I120" s="200">
        <f t="shared" si="22"/>
        <v>37</v>
      </c>
      <c r="J120"/>
      <c r="K120" s="15"/>
      <c r="L120" s="8"/>
      <c r="M120"/>
    </row>
    <row r="121" spans="1:13" s="4" customFormat="1" ht="15" hidden="1" outlineLevel="1">
      <c r="A121" s="26"/>
      <c r="B121" s="33"/>
      <c r="C121" s="112"/>
      <c r="D121" s="55"/>
      <c r="E121" s="56"/>
      <c r="F121" s="141"/>
      <c r="G121" s="179"/>
      <c r="H121" s="179"/>
      <c r="I121" s="179"/>
      <c r="J121"/>
      <c r="K121" s="15"/>
      <c r="L121" s="8"/>
      <c r="M121"/>
    </row>
    <row r="122" spans="1:13" s="4" customFormat="1" ht="15" hidden="1" outlineLevel="1">
      <c r="A122" s="26"/>
      <c r="B122" s="33"/>
      <c r="C122" s="112">
        <v>328800</v>
      </c>
      <c r="D122" s="55" t="s">
        <v>233</v>
      </c>
      <c r="E122" s="56"/>
      <c r="F122" s="141"/>
      <c r="G122" s="179"/>
      <c r="H122" s="179"/>
      <c r="I122" s="179"/>
      <c r="J122"/>
      <c r="K122" s="15"/>
      <c r="L122" s="8"/>
      <c r="M122"/>
    </row>
    <row r="123" spans="1:13" s="4" customFormat="1" ht="15" hidden="1" outlineLevel="1">
      <c r="A123" s="26" t="s">
        <v>136</v>
      </c>
      <c r="B123" s="33">
        <v>4000</v>
      </c>
      <c r="C123" s="112"/>
      <c r="D123" s="127" t="s">
        <v>23</v>
      </c>
      <c r="E123" s="127" t="s">
        <v>61</v>
      </c>
      <c r="F123" s="142" t="s">
        <v>126</v>
      </c>
      <c r="G123" s="180">
        <v>150000</v>
      </c>
      <c r="H123" s="201">
        <v>0</v>
      </c>
      <c r="I123" s="118"/>
      <c r="J123"/>
      <c r="K123" s="15"/>
      <c r="L123" s="8"/>
      <c r="M123" s="45"/>
    </row>
    <row r="124" spans="1:13" s="4" customFormat="1" ht="15" hidden="1" outlineLevel="1">
      <c r="A124" s="26" t="s">
        <v>136</v>
      </c>
      <c r="B124" s="33">
        <v>1800</v>
      </c>
      <c r="C124" s="112"/>
      <c r="D124" s="127" t="s">
        <v>166</v>
      </c>
      <c r="E124" s="127" t="s">
        <v>61</v>
      </c>
      <c r="F124" s="142" t="s">
        <v>125</v>
      </c>
      <c r="G124" s="180">
        <v>-135000</v>
      </c>
      <c r="H124" s="201">
        <v>0</v>
      </c>
      <c r="I124" s="118"/>
      <c r="J124"/>
      <c r="K124" s="15"/>
      <c r="L124" s="8"/>
      <c r="M124"/>
    </row>
    <row r="125" spans="1:13" s="4" customFormat="1" ht="15" hidden="1" outlineLevel="1">
      <c r="A125" s="26" t="s">
        <v>136</v>
      </c>
      <c r="B125" s="33">
        <v>4010</v>
      </c>
      <c r="C125" s="112"/>
      <c r="D125" s="127" t="s">
        <v>128</v>
      </c>
      <c r="E125" s="127" t="s">
        <v>61</v>
      </c>
      <c r="F125" s="142" t="s">
        <v>126</v>
      </c>
      <c r="G125" s="180">
        <v>27000</v>
      </c>
      <c r="H125" s="201">
        <v>0</v>
      </c>
      <c r="I125" s="118"/>
      <c r="J125"/>
      <c r="K125" s="15"/>
      <c r="L125" s="8"/>
      <c r="M125"/>
    </row>
    <row r="126" spans="1:13" s="4" customFormat="1" ht="15" hidden="1" outlineLevel="1">
      <c r="A126" s="26" t="s">
        <v>136</v>
      </c>
      <c r="B126" s="33">
        <v>4031</v>
      </c>
      <c r="C126" s="90">
        <v>328801</v>
      </c>
      <c r="D126" s="56" t="s">
        <v>26</v>
      </c>
      <c r="E126" s="56" t="s">
        <v>61</v>
      </c>
      <c r="F126" s="44"/>
      <c r="G126" s="180">
        <v>1000</v>
      </c>
      <c r="H126" s="201">
        <v>1000</v>
      </c>
      <c r="I126" s="203">
        <v>0</v>
      </c>
      <c r="J126"/>
      <c r="K126" s="15"/>
      <c r="L126" s="8"/>
      <c r="M126"/>
    </row>
    <row r="127" spans="1:13" s="4" customFormat="1" ht="15" hidden="1" outlineLevel="1">
      <c r="A127" s="26" t="s">
        <v>136</v>
      </c>
      <c r="B127" s="33">
        <v>4001</v>
      </c>
      <c r="C127" s="90">
        <v>328811</v>
      </c>
      <c r="D127" s="56" t="s">
        <v>68</v>
      </c>
      <c r="E127" s="56" t="s">
        <v>61</v>
      </c>
      <c r="F127" s="44"/>
      <c r="G127" s="180">
        <v>5000</v>
      </c>
      <c r="H127" s="201">
        <v>26000</v>
      </c>
      <c r="I127" s="203">
        <v>24252</v>
      </c>
      <c r="J127"/>
      <c r="K127" s="15"/>
      <c r="L127" s="8"/>
      <c r="M127"/>
    </row>
    <row r="128" spans="1:13" s="4" customFormat="1" ht="15" hidden="1" outlineLevel="1">
      <c r="A128" s="26" t="s">
        <v>136</v>
      </c>
      <c r="B128" s="33">
        <v>4030</v>
      </c>
      <c r="C128" s="90">
        <v>328831</v>
      </c>
      <c r="D128" s="56" t="s">
        <v>34</v>
      </c>
      <c r="E128" s="56" t="s">
        <v>61</v>
      </c>
      <c r="F128" s="44" t="s">
        <v>326</v>
      </c>
      <c r="G128" s="180">
        <v>51500</v>
      </c>
      <c r="H128" s="201">
        <v>45500</v>
      </c>
      <c r="I128" s="203">
        <v>37107</v>
      </c>
      <c r="J128"/>
      <c r="K128" s="15"/>
      <c r="L128" s="8"/>
      <c r="M128"/>
    </row>
    <row r="129" spans="1:15" s="4" customFormat="1" ht="15" hidden="1" outlineLevel="1">
      <c r="A129" s="26" t="s">
        <v>136</v>
      </c>
      <c r="B129" s="33">
        <v>5120</v>
      </c>
      <c r="C129" s="90">
        <v>328841</v>
      </c>
      <c r="D129" s="56" t="s">
        <v>38</v>
      </c>
      <c r="E129" s="56" t="s">
        <v>61</v>
      </c>
      <c r="F129" s="44"/>
      <c r="G129" s="180">
        <v>15000</v>
      </c>
      <c r="H129" s="201">
        <v>0</v>
      </c>
      <c r="I129" s="203">
        <v>0</v>
      </c>
      <c r="J129"/>
      <c r="K129" s="15"/>
      <c r="L129" s="8"/>
      <c r="M129"/>
    </row>
    <row r="130" spans="1:15" ht="15" hidden="1" outlineLevel="1">
      <c r="A130" s="26" t="s">
        <v>136</v>
      </c>
      <c r="B130" s="33">
        <v>4020</v>
      </c>
      <c r="C130" s="90">
        <v>328851</v>
      </c>
      <c r="D130" s="56" t="s">
        <v>24</v>
      </c>
      <c r="E130" s="56" t="s">
        <v>61</v>
      </c>
      <c r="F130" s="44"/>
      <c r="G130" s="180">
        <v>0</v>
      </c>
      <c r="H130" s="201">
        <v>0</v>
      </c>
      <c r="I130" s="203">
        <v>0</v>
      </c>
      <c r="J130"/>
      <c r="K130" s="15"/>
      <c r="L130" s="8"/>
      <c r="M130" s="20"/>
    </row>
    <row r="131" spans="1:15" ht="15" hidden="1" outlineLevel="1">
      <c r="A131" s="26" t="s">
        <v>136</v>
      </c>
      <c r="B131" s="34" t="s">
        <v>85</v>
      </c>
      <c r="C131" s="90">
        <v>328861</v>
      </c>
      <c r="D131" s="56" t="s">
        <v>182</v>
      </c>
      <c r="E131" s="56" t="s">
        <v>61</v>
      </c>
      <c r="F131" s="110"/>
      <c r="G131" s="181">
        <v>0</v>
      </c>
      <c r="H131" s="202">
        <v>6000</v>
      </c>
      <c r="I131" s="204">
        <v>4900</v>
      </c>
      <c r="J131" s="1"/>
      <c r="K131" s="16"/>
      <c r="L131" s="8"/>
      <c r="M131" s="20"/>
    </row>
    <row r="132" spans="1:15" ht="15" hidden="1" outlineLevel="1">
      <c r="A132" s="26" t="s">
        <v>136</v>
      </c>
      <c r="B132" s="33">
        <v>5135</v>
      </c>
      <c r="D132" s="57" t="s">
        <v>110</v>
      </c>
      <c r="E132" s="57" t="s">
        <v>61</v>
      </c>
      <c r="F132" s="143" t="s">
        <v>127</v>
      </c>
      <c r="G132" s="181">
        <v>79875</v>
      </c>
      <c r="H132" s="202">
        <v>0</v>
      </c>
      <c r="I132" s="178"/>
      <c r="J132"/>
      <c r="K132"/>
      <c r="L132" s="8"/>
      <c r="M132"/>
    </row>
    <row r="133" spans="1:15" ht="15" hidden="1" outlineLevel="1">
      <c r="A133" s="26" t="s">
        <v>2</v>
      </c>
      <c r="B133" s="34" t="s">
        <v>181</v>
      </c>
      <c r="C133" s="112">
        <v>328899</v>
      </c>
      <c r="D133" s="55" t="s">
        <v>234</v>
      </c>
      <c r="E133" s="56"/>
      <c r="F133" s="141"/>
      <c r="G133" s="177">
        <f t="shared" ref="G133:I133" si="23">SUM(G123:G132)</f>
        <v>194375</v>
      </c>
      <c r="H133" s="199">
        <f t="shared" si="23"/>
        <v>78500</v>
      </c>
      <c r="I133" s="200">
        <f t="shared" si="23"/>
        <v>66259</v>
      </c>
      <c r="J133"/>
      <c r="K133"/>
      <c r="L133" s="8"/>
      <c r="M133"/>
    </row>
    <row r="134" spans="1:15" ht="15" hidden="1" outlineLevel="1">
      <c r="B134" s="33"/>
      <c r="D134" s="56"/>
      <c r="E134" s="56"/>
      <c r="F134" s="141"/>
      <c r="G134" s="118"/>
      <c r="H134" s="118"/>
      <c r="I134" s="118"/>
      <c r="J134"/>
      <c r="K134"/>
      <c r="L134" s="8"/>
      <c r="M134"/>
    </row>
    <row r="135" spans="1:15" ht="15" hidden="1" outlineLevel="1">
      <c r="A135" s="26" t="s">
        <v>2</v>
      </c>
      <c r="B135" s="33">
        <v>4999</v>
      </c>
      <c r="C135" s="112">
        <v>399999</v>
      </c>
      <c r="D135" s="55" t="s">
        <v>57</v>
      </c>
      <c r="E135" s="56" t="s">
        <v>61</v>
      </c>
      <c r="F135" s="44"/>
      <c r="G135" s="177">
        <f t="shared" ref="G135:I135" si="24">G120+G133</f>
        <v>207375</v>
      </c>
      <c r="H135" s="199">
        <f t="shared" si="24"/>
        <v>91500</v>
      </c>
      <c r="I135" s="200">
        <f t="shared" si="24"/>
        <v>66296</v>
      </c>
      <c r="J135" s="1"/>
      <c r="K135"/>
      <c r="L135" s="80"/>
      <c r="M135" s="17"/>
    </row>
    <row r="136" spans="1:15" hidden="1" outlineLevel="1">
      <c r="B136" s="33"/>
      <c r="D136" s="56"/>
      <c r="E136" s="56"/>
      <c r="F136" s="44"/>
      <c r="G136" s="118"/>
      <c r="H136" s="118"/>
      <c r="I136" s="118"/>
    </row>
    <row r="137" spans="1:15" collapsed="1">
      <c r="A137" s="26" t="s">
        <v>0</v>
      </c>
      <c r="B137" s="33"/>
      <c r="C137" s="112">
        <v>330000</v>
      </c>
      <c r="D137" s="52" t="s">
        <v>46</v>
      </c>
      <c r="E137" s="52" t="s">
        <v>62</v>
      </c>
      <c r="F137" s="140"/>
      <c r="G137" s="180">
        <f t="shared" ref="G137:I137" si="25">G171</f>
        <v>446789</v>
      </c>
      <c r="H137" s="201">
        <f t="shared" si="25"/>
        <v>585000</v>
      </c>
      <c r="I137" s="203">
        <f t="shared" si="25"/>
        <v>496473</v>
      </c>
    </row>
    <row r="138" spans="1:15" ht="15" hidden="1" customHeight="1" outlineLevel="1">
      <c r="A138" s="26" t="s">
        <v>0</v>
      </c>
      <c r="B138" s="33"/>
      <c r="C138" s="112">
        <v>330100</v>
      </c>
      <c r="D138" s="55" t="s">
        <v>235</v>
      </c>
      <c r="E138" s="55"/>
      <c r="F138" s="44"/>
      <c r="G138" s="180"/>
      <c r="H138" s="201"/>
      <c r="I138" s="118"/>
      <c r="J138" s="81"/>
      <c r="K138" s="80"/>
      <c r="L138" s="80"/>
      <c r="M138" s="80"/>
      <c r="N138" s="17"/>
    </row>
    <row r="139" spans="1:15" ht="15.75" hidden="1" outlineLevel="1">
      <c r="A139" s="26" t="s">
        <v>136</v>
      </c>
      <c r="B139" s="33">
        <v>3033</v>
      </c>
      <c r="C139" s="90">
        <v>330101</v>
      </c>
      <c r="D139" s="56" t="s">
        <v>236</v>
      </c>
      <c r="E139" s="56"/>
      <c r="F139" s="44"/>
      <c r="G139" s="180">
        <v>4000</v>
      </c>
      <c r="H139" s="201">
        <v>4000</v>
      </c>
      <c r="I139" s="203">
        <v>0</v>
      </c>
      <c r="J139" s="28"/>
      <c r="K139" s="8"/>
      <c r="L139" s="8"/>
      <c r="M139" s="8"/>
      <c r="N139" s="19"/>
    </row>
    <row r="140" spans="1:15" ht="15.75" hidden="1" outlineLevel="1">
      <c r="A140" s="26" t="s">
        <v>136</v>
      </c>
      <c r="B140" s="33">
        <v>3031</v>
      </c>
      <c r="C140" s="90">
        <v>330102</v>
      </c>
      <c r="D140" s="56" t="s">
        <v>237</v>
      </c>
      <c r="E140" s="56"/>
      <c r="F140" s="44"/>
      <c r="G140" s="180">
        <v>3000</v>
      </c>
      <c r="H140" s="201">
        <v>3000</v>
      </c>
      <c r="I140" s="203">
        <v>0</v>
      </c>
      <c r="J140" s="28"/>
      <c r="K140" s="8"/>
      <c r="L140" s="8"/>
      <c r="M140" s="82"/>
      <c r="N140" s="20"/>
    </row>
    <row r="141" spans="1:15" ht="15" hidden="1" customHeight="1" outlineLevel="1">
      <c r="A141" s="26" t="s">
        <v>136</v>
      </c>
      <c r="B141" s="33">
        <v>3030</v>
      </c>
      <c r="C141" s="90">
        <v>330103</v>
      </c>
      <c r="D141" s="56" t="s">
        <v>238</v>
      </c>
      <c r="E141" s="56"/>
      <c r="F141" s="44"/>
      <c r="G141" s="181">
        <v>0</v>
      </c>
      <c r="H141" s="202">
        <v>0</v>
      </c>
      <c r="I141" s="204">
        <v>0</v>
      </c>
      <c r="J141" s="76"/>
      <c r="K141" s="15"/>
      <c r="L141" s="80"/>
      <c r="M141" s="80"/>
      <c r="N141" s="17"/>
      <c r="O141" s="18"/>
    </row>
    <row r="142" spans="1:15" ht="15" hidden="1" outlineLevel="1">
      <c r="A142" s="26" t="s">
        <v>2</v>
      </c>
      <c r="B142" s="34" t="s">
        <v>158</v>
      </c>
      <c r="C142" s="112">
        <v>330199</v>
      </c>
      <c r="D142" s="55" t="s">
        <v>239</v>
      </c>
      <c r="E142" s="56"/>
      <c r="F142" s="44"/>
      <c r="G142" s="177">
        <f t="shared" ref="G142:I142" si="26">SUM(G139:G141)</f>
        <v>7000</v>
      </c>
      <c r="H142" s="199">
        <f t="shared" si="26"/>
        <v>7000</v>
      </c>
      <c r="I142" s="200">
        <f t="shared" si="26"/>
        <v>0</v>
      </c>
      <c r="J142"/>
      <c r="K142" s="83"/>
      <c r="L142" s="8"/>
      <c r="M142" s="8"/>
      <c r="N142"/>
      <c r="O142" s="19"/>
    </row>
    <row r="143" spans="1:15" ht="15" hidden="1" outlineLevel="1">
      <c r="B143" s="33"/>
      <c r="D143" s="56"/>
      <c r="E143" s="56"/>
      <c r="F143" s="44"/>
      <c r="G143" s="118"/>
      <c r="H143" s="118"/>
      <c r="I143" s="118"/>
      <c r="J143"/>
      <c r="K143" s="15"/>
      <c r="L143" s="8"/>
      <c r="M143" s="84"/>
      <c r="N143"/>
      <c r="O143" s="21"/>
    </row>
    <row r="144" spans="1:15" ht="15" hidden="1" outlineLevel="1">
      <c r="A144" s="26" t="s">
        <v>0</v>
      </c>
      <c r="B144" s="33"/>
      <c r="C144" s="112">
        <v>330200</v>
      </c>
      <c r="D144" s="55" t="s">
        <v>78</v>
      </c>
      <c r="E144" s="56"/>
      <c r="F144" s="44"/>
      <c r="G144" s="118"/>
      <c r="H144" s="118"/>
      <c r="I144" s="118"/>
      <c r="J144"/>
      <c r="K144" s="15"/>
      <c r="L144" s="8"/>
      <c r="M144" s="8"/>
      <c r="N144"/>
      <c r="O144" s="15"/>
    </row>
    <row r="145" spans="1:15" ht="15" hidden="1" outlineLevel="1">
      <c r="A145" s="26" t="s">
        <v>136</v>
      </c>
      <c r="B145" s="33"/>
      <c r="C145" s="90">
        <v>330201</v>
      </c>
      <c r="D145" s="56" t="s">
        <v>240</v>
      </c>
      <c r="E145" s="56"/>
      <c r="F145" s="44"/>
      <c r="G145" s="180">
        <v>1500</v>
      </c>
      <c r="H145" s="201">
        <v>2000</v>
      </c>
      <c r="I145" s="203">
        <v>0</v>
      </c>
      <c r="J145"/>
      <c r="K145" s="15"/>
      <c r="L145" s="8"/>
      <c r="M145" s="8"/>
      <c r="N145"/>
      <c r="O145" s="15"/>
    </row>
    <row r="146" spans="1:15" ht="15" hidden="1" outlineLevel="1">
      <c r="A146" s="26" t="s">
        <v>136</v>
      </c>
      <c r="B146" s="33"/>
      <c r="C146" s="90">
        <v>330202</v>
      </c>
      <c r="D146" s="56" t="s">
        <v>241</v>
      </c>
      <c r="E146" s="56"/>
      <c r="F146" s="44"/>
      <c r="G146" s="180">
        <v>10000</v>
      </c>
      <c r="H146" s="201">
        <v>13000</v>
      </c>
      <c r="I146" s="203">
        <v>8042</v>
      </c>
      <c r="J146"/>
      <c r="K146" s="15"/>
      <c r="L146" s="8"/>
      <c r="M146" s="8"/>
      <c r="N146"/>
      <c r="O146" s="15"/>
    </row>
    <row r="147" spans="1:15" ht="15" hidden="1" outlineLevel="1">
      <c r="A147" s="26" t="s">
        <v>136</v>
      </c>
      <c r="B147" s="33"/>
      <c r="C147" s="90">
        <v>330203</v>
      </c>
      <c r="D147" s="56" t="s">
        <v>242</v>
      </c>
      <c r="E147" s="56"/>
      <c r="F147" s="44"/>
      <c r="G147" s="180">
        <v>0</v>
      </c>
      <c r="H147" s="201">
        <v>0</v>
      </c>
      <c r="I147" s="203">
        <v>542</v>
      </c>
      <c r="J147"/>
      <c r="K147" s="15"/>
      <c r="L147" s="8"/>
      <c r="M147" s="8"/>
      <c r="N147"/>
      <c r="O147" s="15"/>
    </row>
    <row r="148" spans="1:15" ht="15" hidden="1" outlineLevel="1">
      <c r="A148" s="26" t="s">
        <v>136</v>
      </c>
      <c r="B148" s="33">
        <v>3002</v>
      </c>
      <c r="C148" s="90">
        <v>330205</v>
      </c>
      <c r="D148" s="56" t="s">
        <v>243</v>
      </c>
      <c r="E148" s="56"/>
      <c r="F148" s="110"/>
      <c r="G148" s="185">
        <v>340489</v>
      </c>
      <c r="H148" s="205">
        <f>427000-79000</f>
        <v>348000</v>
      </c>
      <c r="I148" s="215">
        <v>347901</v>
      </c>
      <c r="J148"/>
      <c r="K148" s="15"/>
      <c r="L148" s="8"/>
      <c r="M148" s="8"/>
      <c r="N148"/>
      <c r="O148" s="15"/>
    </row>
    <row r="149" spans="1:15" ht="15" hidden="1" outlineLevel="1">
      <c r="A149" s="26" t="s">
        <v>136</v>
      </c>
      <c r="B149" s="33">
        <v>1710</v>
      </c>
      <c r="D149" s="69" t="s">
        <v>146</v>
      </c>
      <c r="E149" s="69"/>
      <c r="F149" s="144" t="s">
        <v>125</v>
      </c>
      <c r="G149" s="181">
        <v>-170000</v>
      </c>
      <c r="H149" s="202">
        <v>0</v>
      </c>
      <c r="I149" s="204"/>
      <c r="J149"/>
      <c r="K149" s="15"/>
      <c r="L149" s="8"/>
      <c r="M149" s="8"/>
      <c r="N149"/>
      <c r="O149" s="22"/>
    </row>
    <row r="150" spans="1:15" ht="15" hidden="1" outlineLevel="1">
      <c r="A150" s="26" t="s">
        <v>2</v>
      </c>
      <c r="B150" s="34" t="s">
        <v>158</v>
      </c>
      <c r="C150" s="112">
        <v>330299</v>
      </c>
      <c r="D150" s="55" t="s">
        <v>79</v>
      </c>
      <c r="E150" s="56"/>
      <c r="F150" s="44"/>
      <c r="G150" s="177">
        <f>SUM(G145:G149)</f>
        <v>181989</v>
      </c>
      <c r="H150" s="199">
        <f t="shared" ref="H150:I150" si="27">SUM(H145:H148)</f>
        <v>363000</v>
      </c>
      <c r="I150" s="200">
        <f t="shared" si="27"/>
        <v>356485</v>
      </c>
      <c r="J150"/>
      <c r="K150" s="15"/>
      <c r="L150" s="8"/>
      <c r="M150" s="8"/>
      <c r="N150"/>
      <c r="O150" s="23"/>
    </row>
    <row r="151" spans="1:15" ht="15" hidden="1" outlineLevel="1">
      <c r="B151" s="33"/>
      <c r="D151" s="56"/>
      <c r="E151" s="56"/>
      <c r="F151" s="44"/>
      <c r="G151" s="118"/>
      <c r="H151" s="118"/>
      <c r="I151" s="118"/>
      <c r="J151"/>
      <c r="K151" s="15"/>
      <c r="L151" s="8"/>
      <c r="M151" s="8"/>
      <c r="N151"/>
      <c r="O151" s="15"/>
    </row>
    <row r="152" spans="1:15" ht="15" hidden="1" outlineLevel="1">
      <c r="A152" s="26" t="s">
        <v>0</v>
      </c>
      <c r="B152" s="33">
        <v>3010</v>
      </c>
      <c r="C152" s="112">
        <v>330300</v>
      </c>
      <c r="D152" s="55" t="s">
        <v>16</v>
      </c>
      <c r="E152" s="56"/>
      <c r="F152" s="44"/>
      <c r="G152" s="118"/>
      <c r="H152" s="118"/>
      <c r="I152" s="118"/>
      <c r="J152"/>
      <c r="K152" s="15"/>
      <c r="L152" s="8"/>
      <c r="M152" s="8"/>
      <c r="N152"/>
      <c r="O152" s="24"/>
    </row>
    <row r="153" spans="1:15" ht="15" hidden="1" outlineLevel="1">
      <c r="A153" s="26" t="s">
        <v>136</v>
      </c>
      <c r="B153" s="34" t="s">
        <v>85</v>
      </c>
      <c r="C153" s="90">
        <v>330301</v>
      </c>
      <c r="D153" s="56" t="s">
        <v>244</v>
      </c>
      <c r="E153" s="56"/>
      <c r="F153" s="44"/>
      <c r="G153" s="180">
        <v>0</v>
      </c>
      <c r="H153" s="201">
        <v>0</v>
      </c>
      <c r="I153" s="203">
        <v>0</v>
      </c>
      <c r="J153"/>
      <c r="K153" s="15"/>
      <c r="L153" s="8"/>
      <c r="M153" s="8"/>
      <c r="N153"/>
      <c r="O153" s="24"/>
    </row>
    <row r="154" spans="1:15" ht="15" hidden="1" outlineLevel="1">
      <c r="A154" s="26" t="s">
        <v>136</v>
      </c>
      <c r="B154" s="34" t="s">
        <v>85</v>
      </c>
      <c r="C154" s="90">
        <v>330302</v>
      </c>
      <c r="D154" s="56" t="s">
        <v>245</v>
      </c>
      <c r="E154" s="56"/>
      <c r="F154" s="44"/>
      <c r="G154" s="180">
        <f t="shared" ref="G154" si="28">SUM(G153)</f>
        <v>0</v>
      </c>
      <c r="H154" s="201">
        <f t="shared" ref="H154:H156" si="29">SUM(H153)</f>
        <v>0</v>
      </c>
      <c r="I154" s="203">
        <v>4300</v>
      </c>
      <c r="J154"/>
      <c r="K154" s="15"/>
      <c r="L154" s="8"/>
      <c r="M154" s="8"/>
      <c r="N154"/>
      <c r="O154" s="21"/>
    </row>
    <row r="155" spans="1:15" ht="15" hidden="1" outlineLevel="1">
      <c r="A155" s="26" t="s">
        <v>136</v>
      </c>
      <c r="B155" s="34" t="s">
        <v>85</v>
      </c>
      <c r="C155" s="90">
        <v>330303</v>
      </c>
      <c r="D155" s="56" t="s">
        <v>246</v>
      </c>
      <c r="E155" s="56"/>
      <c r="F155" s="44"/>
      <c r="G155" s="180">
        <f t="shared" ref="G155:G156" si="30">SUM(G154)</f>
        <v>0</v>
      </c>
      <c r="H155" s="201">
        <v>0</v>
      </c>
      <c r="I155" s="203">
        <v>0</v>
      </c>
      <c r="J155"/>
      <c r="K155"/>
      <c r="L155" s="8"/>
      <c r="M155" s="8"/>
      <c r="N155"/>
      <c r="O155" s="15"/>
    </row>
    <row r="156" spans="1:15" ht="15" hidden="1" outlineLevel="1">
      <c r="A156" s="26" t="s">
        <v>136</v>
      </c>
      <c r="B156" s="34"/>
      <c r="C156" s="90">
        <v>330304</v>
      </c>
      <c r="D156" s="56" t="s">
        <v>247</v>
      </c>
      <c r="E156" s="56"/>
      <c r="F156" s="44"/>
      <c r="G156" s="181">
        <f t="shared" si="30"/>
        <v>0</v>
      </c>
      <c r="H156" s="202">
        <f t="shared" si="29"/>
        <v>0</v>
      </c>
      <c r="I156" s="204">
        <v>10863</v>
      </c>
      <c r="J156"/>
      <c r="K156"/>
      <c r="L156" s="8"/>
      <c r="M156" s="8"/>
      <c r="N156"/>
      <c r="O156" s="15"/>
    </row>
    <row r="157" spans="1:15" ht="15" hidden="1" outlineLevel="1">
      <c r="A157" s="26" t="s">
        <v>2</v>
      </c>
      <c r="B157" s="34" t="s">
        <v>158</v>
      </c>
      <c r="C157" s="112">
        <v>330399</v>
      </c>
      <c r="D157" s="55" t="s">
        <v>88</v>
      </c>
      <c r="E157" s="56"/>
      <c r="F157" s="44"/>
      <c r="G157" s="177">
        <v>37000</v>
      </c>
      <c r="H157" s="199">
        <v>38000</v>
      </c>
      <c r="I157" s="200">
        <f t="shared" ref="I157" si="31">SUM(I153:I156)</f>
        <v>15163</v>
      </c>
      <c r="J157"/>
      <c r="K157" s="8"/>
      <c r="L157" s="8"/>
      <c r="M157" s="8"/>
      <c r="N157"/>
      <c r="O157" s="21"/>
    </row>
    <row r="158" spans="1:15" ht="15" hidden="1" outlineLevel="1">
      <c r="B158" s="33"/>
      <c r="D158" s="55"/>
      <c r="E158" s="56"/>
      <c r="F158" s="44"/>
      <c r="G158" s="179"/>
      <c r="H158" s="179"/>
      <c r="I158" s="179"/>
      <c r="J158"/>
      <c r="K158" s="8"/>
      <c r="L158" s="8"/>
      <c r="M158" s="8"/>
      <c r="N158"/>
      <c r="O158" s="21"/>
    </row>
    <row r="159" spans="1:15" ht="15" hidden="1" outlineLevel="1">
      <c r="A159" s="26" t="s">
        <v>0</v>
      </c>
      <c r="B159" s="33"/>
      <c r="C159" s="90">
        <v>338800</v>
      </c>
      <c r="D159" s="55" t="s">
        <v>248</v>
      </c>
      <c r="E159" s="56"/>
      <c r="F159" s="44"/>
      <c r="G159" s="118"/>
      <c r="H159" s="118"/>
      <c r="I159" s="118"/>
      <c r="J159"/>
      <c r="K159" s="8"/>
      <c r="L159" s="8"/>
      <c r="M159" s="8"/>
      <c r="N159"/>
      <c r="O159"/>
    </row>
    <row r="160" spans="1:15" ht="15" hidden="1" outlineLevel="1">
      <c r="A160" s="26" t="s">
        <v>136</v>
      </c>
      <c r="B160" s="33"/>
      <c r="C160" s="90">
        <v>338801</v>
      </c>
      <c r="D160" s="56" t="s">
        <v>249</v>
      </c>
      <c r="E160" s="56"/>
      <c r="F160" s="44"/>
      <c r="G160" s="180">
        <v>0</v>
      </c>
      <c r="H160" s="201">
        <v>0</v>
      </c>
      <c r="I160" s="203">
        <v>1125</v>
      </c>
      <c r="J160"/>
      <c r="K160" s="8"/>
      <c r="L160" s="8"/>
      <c r="M160" s="8"/>
      <c r="N160"/>
      <c r="O160"/>
    </row>
    <row r="161" spans="1:15" ht="15" hidden="1" outlineLevel="1">
      <c r="A161" s="26" t="s">
        <v>136</v>
      </c>
      <c r="B161" s="33">
        <v>3011</v>
      </c>
      <c r="C161" s="90">
        <v>338811</v>
      </c>
      <c r="D161" s="56" t="s">
        <v>30</v>
      </c>
      <c r="E161" s="45"/>
      <c r="F161" s="73"/>
      <c r="G161" s="180">
        <v>43000</v>
      </c>
      <c r="H161" s="206">
        <v>97500</v>
      </c>
      <c r="I161" s="216">
        <v>68920</v>
      </c>
      <c r="J161"/>
      <c r="K161" s="8"/>
      <c r="L161" s="8"/>
      <c r="M161" s="8"/>
      <c r="N161"/>
      <c r="O161"/>
    </row>
    <row r="162" spans="1:15" ht="15" hidden="1" outlineLevel="1">
      <c r="A162" s="26" t="s">
        <v>136</v>
      </c>
      <c r="B162" s="33">
        <v>3012</v>
      </c>
      <c r="D162" s="69" t="s">
        <v>104</v>
      </c>
      <c r="E162" s="70"/>
      <c r="F162" s="145" t="s">
        <v>148</v>
      </c>
      <c r="G162" s="180">
        <v>-6000</v>
      </c>
      <c r="H162" s="145">
        <v>0</v>
      </c>
      <c r="I162" s="73"/>
      <c r="J162"/>
      <c r="K162" s="8"/>
      <c r="L162" s="8"/>
      <c r="M162" s="8"/>
      <c r="N162"/>
      <c r="O162"/>
    </row>
    <row r="163" spans="1:15" ht="15" hidden="1" outlineLevel="1">
      <c r="A163" s="26" t="s">
        <v>136</v>
      </c>
      <c r="B163" s="33">
        <v>3000</v>
      </c>
      <c r="C163" s="90">
        <v>338821</v>
      </c>
      <c r="D163" s="56" t="s">
        <v>48</v>
      </c>
      <c r="E163" s="56"/>
      <c r="F163" s="44"/>
      <c r="G163" s="180">
        <v>20000</v>
      </c>
      <c r="H163" s="201">
        <v>20000</v>
      </c>
      <c r="I163" s="203">
        <v>21917</v>
      </c>
      <c r="J163"/>
      <c r="K163" s="8"/>
      <c r="L163" s="8"/>
      <c r="M163" s="8"/>
      <c r="N163"/>
      <c r="O163"/>
    </row>
    <row r="164" spans="1:15" ht="15" hidden="1" outlineLevel="1">
      <c r="A164" s="26" t="s">
        <v>136</v>
      </c>
      <c r="B164" s="33">
        <v>3001</v>
      </c>
      <c r="C164" s="90">
        <v>338822</v>
      </c>
      <c r="D164" s="56" t="s">
        <v>250</v>
      </c>
      <c r="E164" s="56"/>
      <c r="F164" s="44"/>
      <c r="G164" s="180">
        <v>27000</v>
      </c>
      <c r="H164" s="201">
        <v>26000</v>
      </c>
      <c r="I164" s="203">
        <v>16750</v>
      </c>
      <c r="J164"/>
      <c r="K164" s="8"/>
      <c r="L164" s="8"/>
      <c r="M164" s="8"/>
      <c r="N164"/>
      <c r="O164"/>
    </row>
    <row r="165" spans="1:15" ht="15" hidden="1" outlineLevel="1">
      <c r="A165" s="26" t="s">
        <v>136</v>
      </c>
      <c r="B165" s="33">
        <v>3005</v>
      </c>
      <c r="C165" s="90">
        <v>338825</v>
      </c>
      <c r="D165" s="56" t="s">
        <v>49</v>
      </c>
      <c r="E165" s="56"/>
      <c r="F165" s="44"/>
      <c r="G165" s="180">
        <v>6000</v>
      </c>
      <c r="H165" s="201">
        <v>10000</v>
      </c>
      <c r="I165" s="203">
        <v>6500</v>
      </c>
      <c r="J165"/>
      <c r="K165" s="8"/>
      <c r="L165" s="8"/>
      <c r="M165" s="8"/>
      <c r="N165"/>
      <c r="O165" s="21"/>
    </row>
    <row r="166" spans="1:15" ht="15" hidden="1" outlineLevel="1">
      <c r="A166" s="26" t="s">
        <v>136</v>
      </c>
      <c r="B166" s="38">
        <v>3027</v>
      </c>
      <c r="C166" s="90">
        <v>338827</v>
      </c>
      <c r="D166" s="56" t="s">
        <v>105</v>
      </c>
      <c r="E166" s="56"/>
      <c r="F166" s="44"/>
      <c r="G166" s="180">
        <v>0</v>
      </c>
      <c r="H166" s="201">
        <v>11000</v>
      </c>
      <c r="I166" s="203">
        <v>1939</v>
      </c>
      <c r="J166"/>
      <c r="K166" s="8"/>
      <c r="L166" s="8"/>
      <c r="M166" s="8"/>
      <c r="N166"/>
      <c r="O166"/>
    </row>
    <row r="167" spans="1:15" ht="15" hidden="1" outlineLevel="1">
      <c r="A167" s="26" t="s">
        <v>136</v>
      </c>
      <c r="B167" s="33">
        <v>30020</v>
      </c>
      <c r="D167" s="69" t="s">
        <v>109</v>
      </c>
      <c r="E167" s="69"/>
      <c r="F167" s="144" t="s">
        <v>147</v>
      </c>
      <c r="G167" s="180">
        <v>143000</v>
      </c>
      <c r="H167" s="201">
        <v>0</v>
      </c>
      <c r="I167" s="118"/>
      <c r="J167"/>
      <c r="K167" s="8"/>
      <c r="L167" s="8"/>
      <c r="M167" s="8"/>
      <c r="N167"/>
      <c r="O167"/>
    </row>
    <row r="168" spans="1:15" ht="15" hidden="1" outlineLevel="1">
      <c r="A168" s="26" t="s">
        <v>136</v>
      </c>
      <c r="B168" s="38">
        <v>3070</v>
      </c>
      <c r="C168" s="90">
        <v>338870</v>
      </c>
      <c r="D168" s="56" t="s">
        <v>33</v>
      </c>
      <c r="E168" s="45"/>
      <c r="F168" s="146"/>
      <c r="G168" s="181">
        <v>-12200</v>
      </c>
      <c r="H168" s="202">
        <v>12500</v>
      </c>
      <c r="I168" s="204">
        <v>7674</v>
      </c>
      <c r="J168"/>
      <c r="K168" s="8"/>
      <c r="L168" s="8"/>
      <c r="M168" s="8"/>
      <c r="N168"/>
      <c r="O168"/>
    </row>
    <row r="169" spans="1:15" ht="15" hidden="1" outlineLevel="1">
      <c r="A169" s="26" t="s">
        <v>2</v>
      </c>
      <c r="B169" s="33"/>
      <c r="C169" s="112">
        <v>338899</v>
      </c>
      <c r="D169" s="55" t="s">
        <v>251</v>
      </c>
      <c r="E169" s="56"/>
      <c r="F169" s="44"/>
      <c r="G169" s="177">
        <f t="shared" ref="G169:I169" si="32">SUM(G160:G168)</f>
        <v>220800</v>
      </c>
      <c r="H169" s="199">
        <f t="shared" si="32"/>
        <v>177000</v>
      </c>
      <c r="I169" s="200">
        <f t="shared" si="32"/>
        <v>124825</v>
      </c>
      <c r="K169" s="8"/>
      <c r="L169" s="8"/>
      <c r="M169" s="80"/>
      <c r="N169"/>
      <c r="O169" s="25"/>
    </row>
    <row r="170" spans="1:15" ht="15" hidden="1" outlineLevel="1">
      <c r="B170" s="33"/>
      <c r="D170" s="56"/>
      <c r="E170" s="56"/>
      <c r="F170" s="44"/>
      <c r="G170" s="118"/>
      <c r="H170" s="201"/>
      <c r="I170" s="118"/>
      <c r="J170" s="1"/>
      <c r="K170" s="8"/>
      <c r="L170" s="8"/>
      <c r="M170" s="8"/>
      <c r="N170"/>
      <c r="O170" s="15"/>
    </row>
    <row r="171" spans="1:15" ht="15" hidden="1" outlineLevel="1">
      <c r="A171" s="26" t="s">
        <v>2</v>
      </c>
      <c r="B171" s="33"/>
      <c r="C171" s="112">
        <v>399999</v>
      </c>
      <c r="D171" s="55" t="s">
        <v>66</v>
      </c>
      <c r="E171" s="56"/>
      <c r="F171" s="44"/>
      <c r="G171" s="177">
        <f t="shared" ref="G171:I171" si="33">G142+G150+G157+G169</f>
        <v>446789</v>
      </c>
      <c r="H171" s="199">
        <f t="shared" si="33"/>
        <v>585000</v>
      </c>
      <c r="I171" s="200">
        <f t="shared" si="33"/>
        <v>496473</v>
      </c>
      <c r="J171"/>
      <c r="K171" s="8"/>
      <c r="L171"/>
      <c r="M171"/>
      <c r="N171"/>
      <c r="O171"/>
    </row>
    <row r="172" spans="1:15" ht="15" hidden="1" outlineLevel="1">
      <c r="B172" s="33"/>
      <c r="D172" s="56"/>
      <c r="E172" s="56"/>
      <c r="F172" s="44"/>
      <c r="G172" s="118"/>
      <c r="H172" s="201"/>
      <c r="I172" s="118"/>
      <c r="J172"/>
      <c r="K172"/>
      <c r="L172"/>
      <c r="M172"/>
      <c r="N172"/>
      <c r="O172"/>
    </row>
    <row r="173" spans="1:15" ht="15" collapsed="1">
      <c r="A173" s="26" t="s">
        <v>0</v>
      </c>
      <c r="B173" s="33"/>
      <c r="C173" s="112">
        <v>340000</v>
      </c>
      <c r="D173" s="165" t="s">
        <v>9</v>
      </c>
      <c r="E173" s="52" t="s">
        <v>8</v>
      </c>
      <c r="F173" s="140"/>
      <c r="G173" s="180">
        <f t="shared" ref="G173:I173" si="34">G202</f>
        <v>396000</v>
      </c>
      <c r="H173" s="201">
        <f t="shared" si="34"/>
        <v>453000</v>
      </c>
      <c r="I173" s="203">
        <f t="shared" si="34"/>
        <v>538143</v>
      </c>
      <c r="J173"/>
      <c r="K173"/>
    </row>
    <row r="174" spans="1:15" ht="15" hidden="1" outlineLevel="1">
      <c r="A174" s="26" t="s">
        <v>0</v>
      </c>
      <c r="B174" s="33"/>
      <c r="C174" s="112">
        <v>340100</v>
      </c>
      <c r="D174" s="55" t="s">
        <v>259</v>
      </c>
      <c r="E174" s="55"/>
      <c r="F174" s="44"/>
      <c r="G174" s="180"/>
      <c r="H174" s="201"/>
      <c r="I174" s="118"/>
      <c r="J174" s="15"/>
      <c r="K174" s="15"/>
      <c r="L174" s="75"/>
    </row>
    <row r="175" spans="1:15" ht="15" hidden="1" outlineLevel="1">
      <c r="A175" s="44" t="s">
        <v>136</v>
      </c>
      <c r="B175" s="33">
        <v>5093</v>
      </c>
      <c r="C175" s="90">
        <v>340101</v>
      </c>
      <c r="D175" s="56" t="s">
        <v>31</v>
      </c>
      <c r="E175" s="56"/>
      <c r="F175" s="44"/>
      <c r="G175" s="180"/>
      <c r="H175" s="201">
        <v>2000</v>
      </c>
      <c r="I175" s="203">
        <v>0</v>
      </c>
      <c r="J175" s="15"/>
      <c r="K175" s="15"/>
      <c r="L175" s="75"/>
    </row>
    <row r="176" spans="1:15" ht="15" hidden="1" outlineLevel="1">
      <c r="A176" s="44" t="s">
        <v>136</v>
      </c>
      <c r="B176" s="33">
        <v>5071</v>
      </c>
      <c r="C176" s="90">
        <v>340102</v>
      </c>
      <c r="D176" s="56" t="s">
        <v>29</v>
      </c>
      <c r="E176" s="56"/>
      <c r="F176" s="44"/>
      <c r="G176" s="180">
        <v>2000</v>
      </c>
      <c r="H176" s="201">
        <v>4000</v>
      </c>
      <c r="I176" s="203">
        <v>3978</v>
      </c>
      <c r="J176" s="15"/>
      <c r="K176" s="15"/>
      <c r="L176" s="15"/>
    </row>
    <row r="177" spans="1:14" ht="15" hidden="1" outlineLevel="1">
      <c r="A177" s="44" t="s">
        <v>136</v>
      </c>
      <c r="B177" s="33">
        <v>5092</v>
      </c>
      <c r="C177" s="90">
        <v>340103</v>
      </c>
      <c r="D177" s="56" t="s">
        <v>32</v>
      </c>
      <c r="E177" s="56"/>
      <c r="F177" s="44"/>
      <c r="G177" s="180">
        <v>5000</v>
      </c>
      <c r="H177" s="201">
        <v>2000</v>
      </c>
      <c r="I177" s="203">
        <v>3667</v>
      </c>
      <c r="J177" s="15"/>
      <c r="K177" s="15"/>
      <c r="L177" s="15"/>
    </row>
    <row r="178" spans="1:14" ht="15" hidden="1" outlineLevel="1">
      <c r="A178" s="44" t="s">
        <v>136</v>
      </c>
      <c r="B178" s="33"/>
      <c r="C178" s="90">
        <v>340109</v>
      </c>
      <c r="D178" s="56" t="s">
        <v>252</v>
      </c>
      <c r="E178" s="56"/>
      <c r="F178" s="44"/>
      <c r="G178" s="181"/>
      <c r="H178" s="202">
        <v>0</v>
      </c>
      <c r="I178" s="204">
        <v>1164</v>
      </c>
      <c r="J178" s="15"/>
      <c r="K178" s="15"/>
      <c r="L178" s="15"/>
    </row>
    <row r="179" spans="1:14" ht="15" hidden="1" outlineLevel="1">
      <c r="A179" s="26" t="s">
        <v>2</v>
      </c>
      <c r="B179" s="36">
        <v>5079</v>
      </c>
      <c r="C179" s="112">
        <v>340199</v>
      </c>
      <c r="D179" s="55" t="s">
        <v>65</v>
      </c>
      <c r="E179" s="56"/>
      <c r="F179" s="44"/>
      <c r="G179" s="177">
        <f>SUM(G175:G177)</f>
        <v>7000</v>
      </c>
      <c r="H179" s="199">
        <f>SUM(H175:H177)</f>
        <v>8000</v>
      </c>
      <c r="I179" s="200">
        <f>SUM(I175:I178)</f>
        <v>8809</v>
      </c>
      <c r="J179" s="15"/>
      <c r="K179" s="15"/>
      <c r="L179" s="15"/>
    </row>
    <row r="180" spans="1:14" ht="15" hidden="1" outlineLevel="1">
      <c r="B180" s="33"/>
      <c r="D180" s="55"/>
      <c r="E180" s="56"/>
      <c r="F180" s="44"/>
      <c r="G180" s="179"/>
      <c r="H180" s="118"/>
      <c r="I180" s="118"/>
      <c r="J180" s="15"/>
      <c r="K180" s="15"/>
      <c r="L180" s="15"/>
    </row>
    <row r="181" spans="1:14" ht="15" hidden="1" outlineLevel="1">
      <c r="A181" s="26" t="s">
        <v>0</v>
      </c>
      <c r="B181" s="33"/>
      <c r="C181" s="112">
        <v>340200</v>
      </c>
      <c r="D181" s="55" t="s">
        <v>73</v>
      </c>
      <c r="E181" s="56"/>
      <c r="F181" s="44"/>
      <c r="G181" s="118"/>
      <c r="H181" s="118"/>
      <c r="I181" s="118"/>
      <c r="J181" s="15"/>
      <c r="K181" s="15"/>
      <c r="L181" s="15"/>
    </row>
    <row r="182" spans="1:14" ht="15" hidden="1" outlineLevel="1">
      <c r="A182" s="44" t="s">
        <v>136</v>
      </c>
      <c r="B182" s="33">
        <v>5082</v>
      </c>
      <c r="C182" s="90">
        <v>340201</v>
      </c>
      <c r="D182" s="56" t="s">
        <v>74</v>
      </c>
      <c r="E182" s="57"/>
      <c r="F182" s="44"/>
      <c r="G182" s="180">
        <v>55000</v>
      </c>
      <c r="H182" s="201">
        <v>0</v>
      </c>
      <c r="I182" s="203">
        <v>0</v>
      </c>
      <c r="J182" s="15"/>
      <c r="K182" s="15"/>
      <c r="L182" s="15"/>
    </row>
    <row r="183" spans="1:14" ht="15" hidden="1" outlineLevel="1">
      <c r="A183" s="122" t="s">
        <v>136</v>
      </c>
      <c r="B183" s="123"/>
      <c r="C183" s="124">
        <v>340202</v>
      </c>
      <c r="D183" s="166" t="s">
        <v>320</v>
      </c>
      <c r="E183" s="57"/>
      <c r="F183" s="44"/>
      <c r="G183" s="180"/>
      <c r="H183" s="201"/>
      <c r="I183" s="203"/>
      <c r="J183" s="104" t="s">
        <v>313</v>
      </c>
      <c r="K183" s="86"/>
      <c r="L183" s="86"/>
      <c r="M183" s="87"/>
      <c r="N183" s="91" t="s">
        <v>324</v>
      </c>
    </row>
    <row r="184" spans="1:14" hidden="1" outlineLevel="1">
      <c r="A184" s="44" t="s">
        <v>136</v>
      </c>
      <c r="B184" s="33">
        <v>5080</v>
      </c>
      <c r="C184" s="90">
        <v>340205</v>
      </c>
      <c r="D184" s="56" t="s">
        <v>36</v>
      </c>
      <c r="E184" s="57"/>
      <c r="F184" s="44" t="s">
        <v>295</v>
      </c>
      <c r="G184" s="180">
        <v>15000</v>
      </c>
      <c r="H184" s="201">
        <v>0</v>
      </c>
      <c r="I184" s="203">
        <v>10758</v>
      </c>
      <c r="J184" s="105" t="s">
        <v>312</v>
      </c>
      <c r="K184" s="106" t="s">
        <v>311</v>
      </c>
      <c r="L184" s="107" t="s">
        <v>319</v>
      </c>
      <c r="M184" s="108" t="s">
        <v>318</v>
      </c>
      <c r="N184" s="92" t="s">
        <v>325</v>
      </c>
    </row>
    <row r="185" spans="1:14" hidden="1" outlineLevel="1">
      <c r="A185" s="44" t="s">
        <v>136</v>
      </c>
      <c r="B185" s="33">
        <v>5083</v>
      </c>
      <c r="C185" s="90">
        <v>340207</v>
      </c>
      <c r="D185" s="56" t="s">
        <v>75</v>
      </c>
      <c r="E185" s="56"/>
      <c r="F185" s="44"/>
      <c r="G185" s="180">
        <v>60000</v>
      </c>
      <c r="H185" s="201">
        <v>14000</v>
      </c>
      <c r="I185" s="203">
        <v>5000</v>
      </c>
      <c r="J185" s="93">
        <f>37*52</f>
        <v>1924</v>
      </c>
      <c r="K185" s="94">
        <v>200</v>
      </c>
      <c r="L185" s="95">
        <f>K185*J185</f>
        <v>384800</v>
      </c>
      <c r="M185" s="96">
        <f>L185/2</f>
        <v>192400</v>
      </c>
      <c r="N185" s="97">
        <f>M185*11/12</f>
        <v>176366.66666666666</v>
      </c>
    </row>
    <row r="186" spans="1:14" hidden="1" outlineLevel="1">
      <c r="A186" s="44" t="s">
        <v>136</v>
      </c>
      <c r="B186" s="33">
        <v>5085</v>
      </c>
      <c r="C186" s="90">
        <v>340208</v>
      </c>
      <c r="D186" s="56" t="s">
        <v>76</v>
      </c>
      <c r="E186" s="56"/>
      <c r="F186" s="44"/>
      <c r="G186" s="180">
        <v>12000</v>
      </c>
      <c r="H186" s="201">
        <v>7000</v>
      </c>
      <c r="I186" s="203">
        <v>1700</v>
      </c>
      <c r="J186" s="93">
        <f>37*52</f>
        <v>1924</v>
      </c>
      <c r="K186" s="94">
        <v>225</v>
      </c>
      <c r="L186" s="95">
        <f t="shared" ref="L186:L188" si="35">K186*J186</f>
        <v>432900</v>
      </c>
      <c r="M186" s="96">
        <f t="shared" ref="M186:M188" si="36">L186/2</f>
        <v>216450</v>
      </c>
      <c r="N186" s="98">
        <f>M186*11/12</f>
        <v>198412.5</v>
      </c>
    </row>
    <row r="187" spans="1:14" hidden="1" outlineLevel="1">
      <c r="A187" s="44" t="s">
        <v>136</v>
      </c>
      <c r="B187" s="38">
        <v>1400</v>
      </c>
      <c r="D187" s="127" t="s">
        <v>20</v>
      </c>
      <c r="E187" s="126"/>
      <c r="F187" s="147" t="s">
        <v>111</v>
      </c>
      <c r="G187" s="180">
        <v>-25000</v>
      </c>
      <c r="H187" s="118"/>
      <c r="I187" s="118"/>
      <c r="J187" s="93">
        <f>37*52</f>
        <v>1924</v>
      </c>
      <c r="K187" s="94">
        <v>250</v>
      </c>
      <c r="L187" s="95">
        <f t="shared" si="35"/>
        <v>481000</v>
      </c>
      <c r="M187" s="96">
        <f t="shared" si="36"/>
        <v>240500</v>
      </c>
      <c r="N187" s="98">
        <f>M187*11/12</f>
        <v>220458.33333333334</v>
      </c>
    </row>
    <row r="188" spans="1:14" hidden="1" outlineLevel="1">
      <c r="A188" s="44" t="s">
        <v>136</v>
      </c>
      <c r="B188" s="38">
        <v>1401</v>
      </c>
      <c r="D188" s="127" t="s">
        <v>21</v>
      </c>
      <c r="E188" s="126"/>
      <c r="F188" s="147" t="s">
        <v>111</v>
      </c>
      <c r="G188" s="180">
        <v>-180000</v>
      </c>
      <c r="H188" s="118"/>
      <c r="I188" s="118"/>
      <c r="J188" s="99">
        <f>37*52</f>
        <v>1924</v>
      </c>
      <c r="K188" s="100">
        <v>300</v>
      </c>
      <c r="L188" s="101">
        <f t="shared" si="35"/>
        <v>577200</v>
      </c>
      <c r="M188" s="102">
        <f t="shared" si="36"/>
        <v>288600</v>
      </c>
      <c r="N188" s="103">
        <f>M188*11/12</f>
        <v>264550</v>
      </c>
    </row>
    <row r="189" spans="1:14" ht="15" hidden="1" outlineLevel="1">
      <c r="A189" s="44" t="s">
        <v>136</v>
      </c>
      <c r="B189" s="38">
        <v>1410</v>
      </c>
      <c r="D189" s="127" t="s">
        <v>22</v>
      </c>
      <c r="E189" s="126"/>
      <c r="F189" s="147" t="s">
        <v>111</v>
      </c>
      <c r="G189" s="180">
        <v>-15000</v>
      </c>
      <c r="H189" s="118"/>
      <c r="I189" s="118"/>
      <c r="J189" s="15"/>
      <c r="K189" s="15"/>
      <c r="L189" s="15"/>
    </row>
    <row r="190" spans="1:14" ht="15" hidden="1" outlineLevel="1">
      <c r="A190" s="44"/>
      <c r="B190" s="38"/>
      <c r="C190" s="90">
        <v>340209</v>
      </c>
      <c r="D190" s="56" t="s">
        <v>303</v>
      </c>
      <c r="E190" s="7"/>
      <c r="F190" s="120"/>
      <c r="G190" s="180">
        <v>0</v>
      </c>
      <c r="H190" s="201">
        <v>0</v>
      </c>
      <c r="I190" s="203">
        <v>0</v>
      </c>
      <c r="J190" s="15"/>
      <c r="K190" s="15"/>
      <c r="L190" s="15"/>
    </row>
    <row r="191" spans="1:14" ht="15" hidden="1" customHeight="1" outlineLevel="1">
      <c r="A191" s="44" t="s">
        <v>136</v>
      </c>
      <c r="B191" s="38">
        <v>5060</v>
      </c>
      <c r="C191" s="90">
        <v>340212</v>
      </c>
      <c r="D191" s="56" t="s">
        <v>304</v>
      </c>
      <c r="E191" s="58"/>
      <c r="F191" s="44" t="s">
        <v>321</v>
      </c>
      <c r="G191" s="180">
        <v>15000</v>
      </c>
      <c r="H191" s="201">
        <v>12000</v>
      </c>
      <c r="I191" s="203">
        <v>3900</v>
      </c>
      <c r="J191" s="15"/>
      <c r="K191" s="15"/>
      <c r="L191" s="15"/>
    </row>
    <row r="192" spans="1:14" ht="15" hidden="1" outlineLevel="1">
      <c r="A192" s="44" t="s">
        <v>136</v>
      </c>
      <c r="B192" s="33">
        <v>5020</v>
      </c>
      <c r="C192" s="90">
        <v>340214</v>
      </c>
      <c r="D192" s="56" t="s">
        <v>101</v>
      </c>
      <c r="E192" s="58"/>
      <c r="F192" s="44"/>
      <c r="G192" s="180">
        <v>55000</v>
      </c>
      <c r="H192" s="201">
        <v>55000</v>
      </c>
      <c r="I192" s="203">
        <v>58569</v>
      </c>
      <c r="J192" s="121"/>
      <c r="K192" s="119"/>
      <c r="L192" s="119"/>
      <c r="M192" s="7"/>
      <c r="N192" s="7"/>
    </row>
    <row r="193" spans="1:14" hidden="1" outlineLevel="1">
      <c r="A193" s="44" t="s">
        <v>136</v>
      </c>
      <c r="B193" s="33">
        <v>5030</v>
      </c>
      <c r="C193" s="90">
        <v>340215</v>
      </c>
      <c r="D193" s="56" t="s">
        <v>176</v>
      </c>
      <c r="E193" s="58"/>
      <c r="F193" s="44" t="s">
        <v>322</v>
      </c>
      <c r="G193" s="180">
        <v>27000</v>
      </c>
      <c r="H193" s="201">
        <v>27000</v>
      </c>
      <c r="I193" s="203">
        <v>0</v>
      </c>
      <c r="J193" s="120"/>
      <c r="K193" s="120"/>
      <c r="L193" s="110"/>
      <c r="M193" s="110"/>
      <c r="N193" s="44"/>
    </row>
    <row r="194" spans="1:14" hidden="1" outlineLevel="1">
      <c r="A194" s="44" t="s">
        <v>136</v>
      </c>
      <c r="B194" s="38">
        <v>5065</v>
      </c>
      <c r="C194" s="90">
        <v>340216</v>
      </c>
      <c r="D194" s="56" t="s">
        <v>256</v>
      </c>
      <c r="E194" s="58"/>
      <c r="F194" s="44" t="s">
        <v>255</v>
      </c>
      <c r="G194" s="180">
        <v>20000</v>
      </c>
      <c r="H194" s="201">
        <v>20000</v>
      </c>
      <c r="I194" s="203">
        <v>3208</v>
      </c>
      <c r="J194" s="44"/>
      <c r="K194" s="44"/>
      <c r="L194" s="73"/>
      <c r="M194" s="73"/>
      <c r="N194" s="73"/>
    </row>
    <row r="195" spans="1:14" hidden="1" outlineLevel="1">
      <c r="A195" s="44" t="s">
        <v>136</v>
      </c>
      <c r="B195" s="36">
        <v>5067</v>
      </c>
      <c r="C195" s="90">
        <v>340218</v>
      </c>
      <c r="D195" s="56" t="s">
        <v>102</v>
      </c>
      <c r="E195" s="58"/>
      <c r="F195" s="44"/>
      <c r="G195" s="180">
        <v>0</v>
      </c>
      <c r="H195" s="201">
        <v>7000</v>
      </c>
      <c r="I195" s="203">
        <v>10260</v>
      </c>
      <c r="J195" s="44"/>
      <c r="K195" s="44"/>
      <c r="L195" s="73"/>
      <c r="M195" s="73"/>
      <c r="N195" s="73"/>
    </row>
    <row r="196" spans="1:14" hidden="1" outlineLevel="1">
      <c r="A196" s="44" t="s">
        <v>136</v>
      </c>
      <c r="B196" s="33">
        <v>5062</v>
      </c>
      <c r="C196" s="90">
        <v>340221</v>
      </c>
      <c r="D196" s="56" t="s">
        <v>253</v>
      </c>
      <c r="E196" s="58"/>
      <c r="F196" s="44"/>
      <c r="G196" s="180">
        <v>270000</v>
      </c>
      <c r="H196" s="201">
        <v>240000</v>
      </c>
      <c r="I196" s="203">
        <v>347927</v>
      </c>
      <c r="J196" s="44"/>
      <c r="K196" s="44"/>
      <c r="L196" s="73"/>
      <c r="M196" s="73"/>
      <c r="N196" s="73"/>
    </row>
    <row r="197" spans="1:14" hidden="1" outlineLevel="1">
      <c r="A197" s="44" t="s">
        <v>136</v>
      </c>
      <c r="B197" s="33">
        <v>5061</v>
      </c>
      <c r="C197" s="90">
        <v>340222</v>
      </c>
      <c r="D197" s="56" t="s">
        <v>310</v>
      </c>
      <c r="E197" s="58"/>
      <c r="F197" s="44"/>
      <c r="G197" s="180">
        <v>60000</v>
      </c>
      <c r="H197" s="201">
        <v>50000</v>
      </c>
      <c r="I197" s="203">
        <v>48613</v>
      </c>
      <c r="J197" s="44"/>
      <c r="K197" s="44"/>
      <c r="L197" s="73"/>
      <c r="M197" s="73"/>
      <c r="N197" s="73"/>
    </row>
    <row r="198" spans="1:14" ht="15" hidden="1" outlineLevel="1">
      <c r="A198" s="44" t="s">
        <v>136</v>
      </c>
      <c r="B198" s="33">
        <v>5063</v>
      </c>
      <c r="C198" s="90">
        <v>340223</v>
      </c>
      <c r="D198" s="56" t="s">
        <v>254</v>
      </c>
      <c r="E198" s="58"/>
      <c r="F198" s="44"/>
      <c r="G198" s="180">
        <v>20000</v>
      </c>
      <c r="H198" s="201">
        <v>20000</v>
      </c>
      <c r="I198" s="203">
        <v>39399</v>
      </c>
      <c r="J198" s="75"/>
      <c r="K198"/>
      <c r="L198"/>
    </row>
    <row r="199" spans="1:14" ht="15" hidden="1" outlineLevel="1">
      <c r="A199" s="44"/>
      <c r="B199" s="33"/>
      <c r="C199" s="90">
        <v>340255</v>
      </c>
      <c r="D199" s="56" t="s">
        <v>258</v>
      </c>
      <c r="E199" s="58"/>
      <c r="F199" s="44" t="s">
        <v>257</v>
      </c>
      <c r="G199" s="181">
        <v>0</v>
      </c>
      <c r="H199" s="202">
        <v>0</v>
      </c>
      <c r="I199" s="204">
        <v>0</v>
      </c>
      <c r="J199" s="75"/>
      <c r="K199"/>
      <c r="L199"/>
    </row>
    <row r="200" spans="1:14" ht="15" hidden="1" outlineLevel="1">
      <c r="A200" s="26" t="s">
        <v>2</v>
      </c>
      <c r="B200" s="36">
        <v>5089</v>
      </c>
      <c r="C200" s="112">
        <v>340299</v>
      </c>
      <c r="D200" s="55" t="s">
        <v>77</v>
      </c>
      <c r="E200" s="56"/>
      <c r="F200" s="44"/>
      <c r="G200" s="177">
        <f>SUM(G182:G199)</f>
        <v>389000</v>
      </c>
      <c r="H200" s="199">
        <v>445000</v>
      </c>
      <c r="I200" s="200">
        <f t="shared" ref="I200" si="37">SUM(I182:I199)</f>
        <v>529334</v>
      </c>
      <c r="J200"/>
      <c r="K200"/>
    </row>
    <row r="201" spans="1:14" ht="15" hidden="1" outlineLevel="1">
      <c r="B201" s="33"/>
      <c r="D201" s="55"/>
      <c r="E201" s="56"/>
      <c r="F201" s="44"/>
      <c r="G201" s="118"/>
      <c r="H201" s="118"/>
      <c r="I201" s="118"/>
      <c r="J201"/>
      <c r="K201"/>
    </row>
    <row r="202" spans="1:14" hidden="1" outlineLevel="1">
      <c r="A202" s="26" t="s">
        <v>2</v>
      </c>
      <c r="B202" s="33"/>
      <c r="C202" s="112">
        <v>349999</v>
      </c>
      <c r="D202" s="55" t="s">
        <v>37</v>
      </c>
      <c r="E202" s="56"/>
      <c r="F202" s="44"/>
      <c r="G202" s="177">
        <f t="shared" ref="G202:I202" si="38">G179+G200</f>
        <v>396000</v>
      </c>
      <c r="H202" s="199">
        <f t="shared" si="38"/>
        <v>453000</v>
      </c>
      <c r="I202" s="200">
        <f t="shared" si="38"/>
        <v>538143</v>
      </c>
    </row>
    <row r="203" spans="1:14" hidden="1" outlineLevel="1">
      <c r="B203" s="33"/>
      <c r="D203" s="56"/>
      <c r="E203" s="56"/>
      <c r="F203" s="44"/>
      <c r="G203" s="118"/>
      <c r="H203" s="118"/>
      <c r="I203" s="118"/>
    </row>
    <row r="204" spans="1:14" ht="15" customHeight="1" collapsed="1">
      <c r="A204" s="26" t="s">
        <v>0</v>
      </c>
      <c r="B204" s="33"/>
      <c r="C204" s="112">
        <v>350000</v>
      </c>
      <c r="D204" s="52" t="s">
        <v>47</v>
      </c>
      <c r="E204" s="52" t="s">
        <v>63</v>
      </c>
      <c r="F204" s="140"/>
      <c r="G204" s="180">
        <f t="shared" ref="G204:I204" si="39">G215</f>
        <v>28000</v>
      </c>
      <c r="H204" s="201">
        <f t="shared" si="39"/>
        <v>32000</v>
      </c>
      <c r="I204" s="203">
        <f t="shared" si="39"/>
        <v>30252</v>
      </c>
    </row>
    <row r="205" spans="1:14" ht="15" hidden="1" customHeight="1" outlineLevel="1">
      <c r="A205" s="26" t="s">
        <v>0</v>
      </c>
      <c r="B205" s="33"/>
      <c r="C205" s="112">
        <v>350100</v>
      </c>
      <c r="D205" s="10" t="s">
        <v>260</v>
      </c>
      <c r="G205" s="179"/>
      <c r="H205" s="201"/>
      <c r="I205" s="118"/>
    </row>
    <row r="206" spans="1:14" ht="15" hidden="1" customHeight="1" outlineLevel="1">
      <c r="A206" s="26" t="s">
        <v>136</v>
      </c>
      <c r="B206" s="33"/>
      <c r="C206" s="90">
        <v>350101</v>
      </c>
      <c r="D206" s="11" t="s">
        <v>261</v>
      </c>
      <c r="G206" s="180">
        <v>0</v>
      </c>
      <c r="H206" s="201">
        <v>0</v>
      </c>
      <c r="I206" s="203">
        <v>0</v>
      </c>
    </row>
    <row r="207" spans="1:14" ht="15" hidden="1" customHeight="1" outlineLevel="1">
      <c r="A207" s="26" t="s">
        <v>136</v>
      </c>
      <c r="B207" s="33"/>
      <c r="C207" s="90">
        <v>350102</v>
      </c>
      <c r="D207" s="11" t="s">
        <v>262</v>
      </c>
      <c r="G207" s="180">
        <v>0</v>
      </c>
      <c r="H207" s="201">
        <v>0</v>
      </c>
      <c r="I207" s="203">
        <v>0</v>
      </c>
    </row>
    <row r="208" spans="1:14" ht="15" hidden="1" customHeight="1" outlineLevel="1">
      <c r="A208" s="26" t="s">
        <v>136</v>
      </c>
      <c r="B208" s="33"/>
      <c r="C208" s="90">
        <v>350103</v>
      </c>
      <c r="D208" s="11" t="s">
        <v>263</v>
      </c>
      <c r="G208" s="180">
        <v>0</v>
      </c>
      <c r="H208" s="201">
        <v>0</v>
      </c>
      <c r="I208" s="203">
        <v>0</v>
      </c>
    </row>
    <row r="209" spans="1:11" ht="15" hidden="1" customHeight="1" outlineLevel="1">
      <c r="A209" s="26" t="s">
        <v>136</v>
      </c>
      <c r="B209" s="33"/>
      <c r="C209" s="90">
        <v>350109</v>
      </c>
      <c r="D209" s="11" t="s">
        <v>264</v>
      </c>
      <c r="G209" s="181">
        <v>0</v>
      </c>
      <c r="H209" s="202">
        <v>0</v>
      </c>
      <c r="I209" s="204">
        <v>0</v>
      </c>
    </row>
    <row r="210" spans="1:11" ht="15" hidden="1" customHeight="1" outlineLevel="1">
      <c r="A210" s="26" t="s">
        <v>2</v>
      </c>
      <c r="B210" s="33"/>
      <c r="C210" s="112">
        <v>350199</v>
      </c>
      <c r="D210" s="10" t="s">
        <v>265</v>
      </c>
      <c r="G210" s="177">
        <f t="shared" ref="G210:I210" si="40">SUM(G206:G209)</f>
        <v>0</v>
      </c>
      <c r="H210" s="199">
        <f t="shared" si="40"/>
        <v>0</v>
      </c>
      <c r="I210" s="200">
        <f t="shared" si="40"/>
        <v>0</v>
      </c>
    </row>
    <row r="211" spans="1:11" ht="15" hidden="1" customHeight="1" outlineLevel="1">
      <c r="B211" s="33"/>
      <c r="C211" s="112"/>
      <c r="D211" s="10"/>
      <c r="G211" s="179"/>
      <c r="H211" s="179"/>
      <c r="I211" s="179"/>
    </row>
    <row r="212" spans="1:11" ht="15" hidden="1" customHeight="1" outlineLevel="1">
      <c r="B212" s="33"/>
      <c r="C212" s="90">
        <v>358801</v>
      </c>
      <c r="D212" s="11" t="s">
        <v>70</v>
      </c>
      <c r="F212" s="88" t="s">
        <v>314</v>
      </c>
      <c r="G212" s="180">
        <v>18000</v>
      </c>
      <c r="H212" s="201">
        <v>20000</v>
      </c>
      <c r="I212" s="203">
        <v>18944</v>
      </c>
    </row>
    <row r="213" spans="1:11" ht="15" hidden="1" customHeight="1" outlineLevel="1">
      <c r="A213" s="26" t="s">
        <v>136</v>
      </c>
      <c r="B213" s="33">
        <v>4510</v>
      </c>
      <c r="C213" s="90">
        <v>358805</v>
      </c>
      <c r="D213" s="11" t="s">
        <v>167</v>
      </c>
      <c r="F213" s="148"/>
      <c r="G213" s="180">
        <v>10000</v>
      </c>
      <c r="H213" s="201">
        <v>12000</v>
      </c>
      <c r="I213" s="203">
        <v>11308</v>
      </c>
    </row>
    <row r="214" spans="1:11" ht="15" hidden="1" customHeight="1" outlineLevel="1">
      <c r="B214" s="33"/>
      <c r="G214" s="118"/>
      <c r="H214" s="118"/>
      <c r="I214" s="118"/>
    </row>
    <row r="215" spans="1:11" ht="15" hidden="1" customHeight="1" outlineLevel="1">
      <c r="A215" s="26" t="s">
        <v>2</v>
      </c>
      <c r="B215" s="33">
        <v>4599</v>
      </c>
      <c r="C215" s="90">
        <v>359999</v>
      </c>
      <c r="D215" s="11" t="s">
        <v>69</v>
      </c>
      <c r="G215" s="177">
        <f t="shared" ref="G215:I215" si="41">SUM(G210:G214)</f>
        <v>28000</v>
      </c>
      <c r="H215" s="199">
        <f t="shared" si="41"/>
        <v>32000</v>
      </c>
      <c r="I215" s="200">
        <f t="shared" si="41"/>
        <v>30252</v>
      </c>
    </row>
    <row r="216" spans="1:11" ht="15" hidden="1" customHeight="1" outlineLevel="1">
      <c r="B216" s="33"/>
      <c r="G216" s="118"/>
      <c r="H216" s="118"/>
      <c r="I216" s="118"/>
    </row>
    <row r="217" spans="1:11" ht="15" customHeight="1" collapsed="1">
      <c r="A217" s="26" t="s">
        <v>0</v>
      </c>
      <c r="B217" s="33"/>
      <c r="C217" s="112">
        <v>420000</v>
      </c>
      <c r="D217" s="30" t="s">
        <v>108</v>
      </c>
      <c r="E217" s="30"/>
      <c r="F217" s="149"/>
      <c r="G217" s="180">
        <f>SUM(G218:G221)</f>
        <v>0</v>
      </c>
      <c r="H217" s="201">
        <f t="shared" ref="H217:I217" si="42">SUM(H218:H219)</f>
        <v>187000</v>
      </c>
      <c r="I217" s="203">
        <f t="shared" si="42"/>
        <v>102115</v>
      </c>
    </row>
    <row r="218" spans="1:11" ht="15" hidden="1" customHeight="1" outlineLevel="1">
      <c r="A218" s="26" t="s">
        <v>136</v>
      </c>
      <c r="B218" s="33">
        <v>4000</v>
      </c>
      <c r="C218" s="90">
        <v>420101</v>
      </c>
      <c r="D218" s="11" t="s">
        <v>64</v>
      </c>
      <c r="E218" s="11" t="s">
        <v>61</v>
      </c>
      <c r="G218" s="180">
        <v>0</v>
      </c>
      <c r="H218" s="201">
        <v>160000</v>
      </c>
      <c r="I218" s="203">
        <v>84115</v>
      </c>
    </row>
    <row r="219" spans="1:11" ht="15" hidden="1" customHeight="1" outlineLevel="1">
      <c r="A219" s="26" t="s">
        <v>136</v>
      </c>
      <c r="B219" s="33">
        <v>4010</v>
      </c>
      <c r="C219" s="90">
        <v>420201</v>
      </c>
      <c r="D219" s="56" t="s">
        <v>270</v>
      </c>
      <c r="E219" s="11" t="s">
        <v>61</v>
      </c>
      <c r="F219" s="44"/>
      <c r="G219" s="181">
        <v>0</v>
      </c>
      <c r="H219" s="202">
        <v>27000</v>
      </c>
      <c r="I219" s="204">
        <v>18000</v>
      </c>
    </row>
    <row r="220" spans="1:11" ht="15" hidden="1" customHeight="1" outlineLevel="1">
      <c r="A220" s="26" t="s">
        <v>2</v>
      </c>
      <c r="B220" s="33"/>
      <c r="C220" s="112">
        <v>429999</v>
      </c>
      <c r="D220" s="10" t="s">
        <v>271</v>
      </c>
      <c r="G220" s="180">
        <f t="shared" ref="G220:I220" si="43">SUM(G218:G219)</f>
        <v>0</v>
      </c>
      <c r="H220" s="201">
        <f t="shared" si="43"/>
        <v>187000</v>
      </c>
      <c r="I220" s="203">
        <f t="shared" si="43"/>
        <v>102115</v>
      </c>
    </row>
    <row r="221" spans="1:11" ht="15" hidden="1" customHeight="1" outlineLevel="1">
      <c r="B221" s="33"/>
      <c r="G221" s="118"/>
      <c r="H221" s="118"/>
      <c r="I221" s="118"/>
    </row>
    <row r="222" spans="1:11" ht="15" customHeight="1" collapsed="1">
      <c r="A222" s="26" t="s">
        <v>0</v>
      </c>
      <c r="B222" s="33"/>
      <c r="C222" s="112">
        <v>410000</v>
      </c>
      <c r="D222" s="167" t="s">
        <v>186</v>
      </c>
      <c r="E222" s="29"/>
      <c r="F222" s="150"/>
      <c r="G222" s="180">
        <f t="shared" ref="G222:I222" si="44">G239</f>
        <v>156000</v>
      </c>
      <c r="H222" s="201">
        <f t="shared" si="44"/>
        <v>96000</v>
      </c>
      <c r="I222" s="203">
        <f t="shared" si="44"/>
        <v>164164</v>
      </c>
    </row>
    <row r="223" spans="1:11" ht="15" hidden="1" customHeight="1" outlineLevel="1">
      <c r="B223" s="33"/>
      <c r="G223" s="118"/>
      <c r="H223" s="118"/>
      <c r="I223" s="118"/>
      <c r="J223" s="76"/>
      <c r="K223" s="15"/>
    </row>
    <row r="224" spans="1:11" ht="15" hidden="1" customHeight="1" outlineLevel="1">
      <c r="A224" s="26" t="s">
        <v>0</v>
      </c>
      <c r="B224" s="33"/>
      <c r="C224" s="112">
        <v>410100</v>
      </c>
      <c r="D224" s="10" t="s">
        <v>90</v>
      </c>
      <c r="G224" s="118"/>
      <c r="H224" s="118"/>
      <c r="I224" s="118"/>
      <c r="J224" s="76"/>
      <c r="K224" s="15"/>
    </row>
    <row r="225" spans="1:11" ht="15" hidden="1" customHeight="1" outlineLevel="1">
      <c r="A225" s="26" t="s">
        <v>136</v>
      </c>
      <c r="B225" s="33">
        <v>5091</v>
      </c>
      <c r="C225" s="90">
        <v>410101</v>
      </c>
      <c r="D225" s="11" t="s">
        <v>41</v>
      </c>
      <c r="E225" s="11" t="s">
        <v>60</v>
      </c>
      <c r="G225" s="180">
        <v>26000</v>
      </c>
      <c r="H225" s="201">
        <v>24000</v>
      </c>
      <c r="I225" s="203">
        <v>24000</v>
      </c>
      <c r="J225" s="76"/>
      <c r="K225" s="15"/>
    </row>
    <row r="226" spans="1:11" ht="15" hidden="1" customHeight="1" outlineLevel="1">
      <c r="A226" s="26" t="s">
        <v>136</v>
      </c>
      <c r="B226" s="33">
        <v>5090</v>
      </c>
      <c r="C226" s="90">
        <v>410102</v>
      </c>
      <c r="D226" s="11" t="s">
        <v>15</v>
      </c>
      <c r="E226" s="11" t="s">
        <v>60</v>
      </c>
      <c r="G226" s="180">
        <v>50000</v>
      </c>
      <c r="H226" s="201">
        <v>35000</v>
      </c>
      <c r="I226" s="203">
        <v>48375</v>
      </c>
      <c r="J226" s="77"/>
      <c r="K226" s="15"/>
    </row>
    <row r="227" spans="1:11" ht="15" hidden="1" customHeight="1" outlineLevel="1">
      <c r="A227" s="26" t="s">
        <v>136</v>
      </c>
      <c r="B227" s="33"/>
      <c r="C227" s="90">
        <v>410103</v>
      </c>
      <c r="D227" s="11" t="s">
        <v>317</v>
      </c>
      <c r="F227" s="26" t="s">
        <v>330</v>
      </c>
      <c r="G227" s="180"/>
      <c r="H227" s="201"/>
      <c r="I227" s="203"/>
      <c r="J227" s="77"/>
      <c r="K227" s="15"/>
    </row>
    <row r="228" spans="1:11" ht="15" hidden="1" customHeight="1" outlineLevel="1">
      <c r="A228" s="26" t="s">
        <v>136</v>
      </c>
      <c r="B228" s="37">
        <v>7000</v>
      </c>
      <c r="C228" s="90">
        <v>410105</v>
      </c>
      <c r="D228" s="11" t="s">
        <v>298</v>
      </c>
      <c r="E228" s="11" t="s">
        <v>60</v>
      </c>
      <c r="F228" s="26" t="s">
        <v>328</v>
      </c>
      <c r="G228" s="180">
        <v>20000</v>
      </c>
      <c r="H228" s="201">
        <v>10000</v>
      </c>
      <c r="I228" s="203">
        <v>38431</v>
      </c>
      <c r="J228"/>
      <c r="K228" s="15"/>
    </row>
    <row r="229" spans="1:11" ht="15" hidden="1" customHeight="1" outlineLevel="1">
      <c r="A229" s="26" t="s">
        <v>136</v>
      </c>
      <c r="B229" s="37">
        <v>7040</v>
      </c>
      <c r="C229" s="90">
        <v>410107</v>
      </c>
      <c r="D229" s="11" t="s">
        <v>266</v>
      </c>
      <c r="E229" s="11" t="s">
        <v>60</v>
      </c>
      <c r="G229" s="181">
        <v>30000</v>
      </c>
      <c r="H229" s="202">
        <v>0</v>
      </c>
      <c r="I229" s="204">
        <v>32890</v>
      </c>
      <c r="J229"/>
      <c r="K229" s="15"/>
    </row>
    <row r="230" spans="1:11" ht="15" hidden="1" customHeight="1" outlineLevel="1">
      <c r="A230" s="26" t="s">
        <v>2</v>
      </c>
      <c r="B230" s="34" t="s">
        <v>165</v>
      </c>
      <c r="C230" s="112">
        <v>410199</v>
      </c>
      <c r="D230" s="10" t="s">
        <v>168</v>
      </c>
      <c r="G230" s="177">
        <f t="shared" ref="G230:I230" si="45">SUM(G225:G229)</f>
        <v>126000</v>
      </c>
      <c r="H230" s="199">
        <f t="shared" si="45"/>
        <v>69000</v>
      </c>
      <c r="I230" s="200">
        <f t="shared" si="45"/>
        <v>143696</v>
      </c>
      <c r="J230"/>
      <c r="K230" s="15"/>
    </row>
    <row r="231" spans="1:11" ht="15" hidden="1" customHeight="1" outlineLevel="1">
      <c r="B231" s="37"/>
      <c r="D231" s="10"/>
      <c r="G231" s="179"/>
      <c r="H231" s="179"/>
      <c r="I231" s="179"/>
      <c r="J231" s="15"/>
    </row>
    <row r="232" spans="1:11" ht="15" hidden="1" customHeight="1" outlineLevel="1">
      <c r="A232" s="26" t="s">
        <v>0</v>
      </c>
      <c r="B232" s="37"/>
      <c r="C232" s="112">
        <v>410200</v>
      </c>
      <c r="D232" s="10" t="s">
        <v>40</v>
      </c>
      <c r="G232" s="118"/>
      <c r="H232" s="118"/>
      <c r="I232" s="118"/>
      <c r="J232" s="15"/>
    </row>
    <row r="233" spans="1:11" ht="15" hidden="1" customHeight="1" outlineLevel="1">
      <c r="A233" s="26" t="s">
        <v>136</v>
      </c>
      <c r="B233" s="37">
        <v>7020</v>
      </c>
      <c r="C233" s="90">
        <v>410201</v>
      </c>
      <c r="D233" s="11" t="s">
        <v>267</v>
      </c>
      <c r="E233" s="15"/>
      <c r="G233" s="180">
        <v>30000</v>
      </c>
      <c r="H233" s="201">
        <v>20000</v>
      </c>
      <c r="I233" s="203">
        <v>2214</v>
      </c>
      <c r="J233" s="15"/>
    </row>
    <row r="234" spans="1:11" ht="15" hidden="1" customHeight="1" outlineLevel="1">
      <c r="A234" s="26" t="s">
        <v>136</v>
      </c>
      <c r="B234" s="34" t="s">
        <v>67</v>
      </c>
      <c r="C234" s="90">
        <v>410202</v>
      </c>
      <c r="D234" s="11" t="s">
        <v>269</v>
      </c>
      <c r="F234" s="151"/>
      <c r="G234" s="180"/>
      <c r="H234" s="201">
        <v>7000</v>
      </c>
      <c r="I234" s="203">
        <v>13111</v>
      </c>
    </row>
    <row r="235" spans="1:11" ht="15" hidden="1" customHeight="1" outlineLevel="1">
      <c r="A235" s="26" t="s">
        <v>136</v>
      </c>
      <c r="B235" s="34"/>
      <c r="C235" s="90">
        <v>410209</v>
      </c>
      <c r="D235" s="11" t="s">
        <v>268</v>
      </c>
      <c r="F235" s="151"/>
      <c r="G235" s="180">
        <v>0</v>
      </c>
      <c r="H235" s="201">
        <v>0</v>
      </c>
      <c r="I235" s="203">
        <v>5143</v>
      </c>
    </row>
    <row r="236" spans="1:11" ht="15" hidden="1" customHeight="1" outlineLevel="1">
      <c r="A236" s="26" t="s">
        <v>136</v>
      </c>
      <c r="B236" s="34"/>
      <c r="C236" s="90">
        <v>410288</v>
      </c>
      <c r="D236" s="56" t="s">
        <v>35</v>
      </c>
      <c r="E236" s="56"/>
      <c r="F236" s="44"/>
      <c r="G236" s="181"/>
      <c r="H236" s="202">
        <v>0</v>
      </c>
      <c r="I236" s="204">
        <v>0</v>
      </c>
    </row>
    <row r="237" spans="1:11" ht="12.75" hidden="1" customHeight="1" outlineLevel="1">
      <c r="A237" s="26" t="s">
        <v>2</v>
      </c>
      <c r="B237" s="34" t="s">
        <v>165</v>
      </c>
      <c r="C237" s="112">
        <v>410299</v>
      </c>
      <c r="D237" s="10" t="s">
        <v>42</v>
      </c>
      <c r="G237" s="177">
        <f>SUM(G233:G234)</f>
        <v>30000</v>
      </c>
      <c r="H237" s="199">
        <f>SUM(H233:H234)</f>
        <v>27000</v>
      </c>
      <c r="I237" s="200">
        <f t="shared" ref="I237" si="46">SUM(I233:I236)</f>
        <v>20468</v>
      </c>
    </row>
    <row r="238" spans="1:11" hidden="1" outlineLevel="1">
      <c r="B238" s="34"/>
      <c r="D238" s="10"/>
      <c r="G238" s="179"/>
      <c r="H238" s="179"/>
      <c r="I238" s="179"/>
    </row>
    <row r="239" spans="1:11" hidden="1" outlineLevel="1">
      <c r="A239" s="26" t="s">
        <v>2</v>
      </c>
      <c r="B239" s="36">
        <v>7199</v>
      </c>
      <c r="C239" s="112">
        <v>419999</v>
      </c>
      <c r="D239" s="10" t="s">
        <v>169</v>
      </c>
      <c r="G239" s="177">
        <f>G230+G237</f>
        <v>156000</v>
      </c>
      <c r="H239" s="199">
        <f>H230+H237</f>
        <v>96000</v>
      </c>
      <c r="I239" s="200">
        <f>I230+I237</f>
        <v>164164</v>
      </c>
    </row>
    <row r="240" spans="1:11" hidden="1" outlineLevel="1">
      <c r="B240" s="33"/>
      <c r="G240" s="118"/>
      <c r="H240" s="118"/>
      <c r="I240" s="118"/>
    </row>
    <row r="241" spans="1:11" collapsed="1">
      <c r="A241" s="26" t="s">
        <v>0</v>
      </c>
      <c r="B241" s="33"/>
      <c r="C241" s="112">
        <v>500000</v>
      </c>
      <c r="D241" s="27" t="s">
        <v>133</v>
      </c>
      <c r="E241" s="27"/>
      <c r="F241" s="152"/>
      <c r="G241" s="186">
        <f t="shared" ref="G241:I241" si="47">G242+G265+G307</f>
        <v>585000</v>
      </c>
      <c r="H241" s="201">
        <f t="shared" si="47"/>
        <v>1073623.8</v>
      </c>
      <c r="I241" s="203">
        <f t="shared" si="47"/>
        <v>958050</v>
      </c>
      <c r="K241" s="78"/>
    </row>
    <row r="242" spans="1:11" hidden="1" outlineLevel="1" collapsed="1">
      <c r="A242" s="26" t="s">
        <v>0</v>
      </c>
      <c r="B242" s="33"/>
      <c r="C242" s="112">
        <v>519999</v>
      </c>
      <c r="D242" s="54" t="s">
        <v>72</v>
      </c>
      <c r="E242" s="54"/>
      <c r="F242" s="153"/>
      <c r="G242" s="187">
        <f>G244+G261</f>
        <v>585000</v>
      </c>
      <c r="H242" s="201">
        <f t="shared" ref="H242:I242" si="48">H256+H261</f>
        <v>639800</v>
      </c>
      <c r="I242" s="203">
        <f t="shared" si="48"/>
        <v>602765</v>
      </c>
    </row>
    <row r="243" spans="1:11" hidden="1" outlineLevel="2">
      <c r="B243" s="33"/>
      <c r="D243" s="10"/>
      <c r="G243" s="118"/>
      <c r="H243" s="201"/>
      <c r="I243" s="118"/>
    </row>
    <row r="244" spans="1:11" hidden="1" outlineLevel="2">
      <c r="A244" s="26" t="s">
        <v>0</v>
      </c>
      <c r="B244" s="33"/>
      <c r="C244" s="112">
        <v>510100</v>
      </c>
      <c r="D244" s="168" t="s">
        <v>143</v>
      </c>
      <c r="E244" s="47" t="s">
        <v>62</v>
      </c>
      <c r="F244" s="154"/>
      <c r="G244" s="188">
        <v>585000</v>
      </c>
      <c r="H244" s="145"/>
      <c r="I244" s="73"/>
    </row>
    <row r="245" spans="1:11" hidden="1" outlineLevel="2">
      <c r="A245" s="26" t="s">
        <v>136</v>
      </c>
      <c r="B245" s="33">
        <v>5200</v>
      </c>
      <c r="C245" s="90">
        <v>510101</v>
      </c>
      <c r="D245" s="11" t="s">
        <v>89</v>
      </c>
      <c r="G245" s="182">
        <v>327000</v>
      </c>
      <c r="H245" s="201">
        <v>356000</v>
      </c>
      <c r="I245" s="203">
        <v>349564</v>
      </c>
    </row>
    <row r="246" spans="1:11" hidden="1" outlineLevel="2">
      <c r="A246" s="26" t="s">
        <v>136</v>
      </c>
      <c r="B246" s="36">
        <v>5202</v>
      </c>
      <c r="C246" s="110">
        <v>510102</v>
      </c>
      <c r="D246" s="56" t="s">
        <v>131</v>
      </c>
      <c r="F246" s="155"/>
      <c r="G246" s="186">
        <v>79000</v>
      </c>
      <c r="H246" s="145">
        <v>79000</v>
      </c>
      <c r="I246" s="209">
        <v>79000</v>
      </c>
    </row>
    <row r="247" spans="1:11" hidden="1" outlineLevel="2">
      <c r="A247" s="26" t="s">
        <v>136</v>
      </c>
      <c r="B247" s="33">
        <v>5205</v>
      </c>
      <c r="C247" s="90">
        <v>510103</v>
      </c>
      <c r="D247" s="56" t="s">
        <v>112</v>
      </c>
      <c r="G247" s="182">
        <v>35800</v>
      </c>
      <c r="H247" s="201">
        <v>35000</v>
      </c>
      <c r="I247" s="203">
        <v>5357</v>
      </c>
    </row>
    <row r="248" spans="1:11" hidden="1" outlineLevel="2">
      <c r="A248" s="26" t="s">
        <v>136</v>
      </c>
      <c r="B248" s="33">
        <v>5210</v>
      </c>
      <c r="C248" s="90">
        <v>510104</v>
      </c>
      <c r="D248" s="56" t="s">
        <v>189</v>
      </c>
      <c r="G248" s="182">
        <v>1200</v>
      </c>
      <c r="H248" s="201">
        <v>1200</v>
      </c>
      <c r="I248" s="203">
        <v>-488</v>
      </c>
    </row>
    <row r="249" spans="1:11" hidden="1" outlineLevel="2">
      <c r="A249" s="26" t="s">
        <v>136</v>
      </c>
      <c r="B249" s="36">
        <v>5212</v>
      </c>
      <c r="C249" s="90">
        <v>510105</v>
      </c>
      <c r="D249" s="56" t="s">
        <v>140</v>
      </c>
      <c r="F249" s="90" t="s">
        <v>327</v>
      </c>
      <c r="G249" s="182">
        <v>5000</v>
      </c>
      <c r="H249" s="201">
        <v>5000</v>
      </c>
      <c r="I249" s="203">
        <v>20624</v>
      </c>
    </row>
    <row r="250" spans="1:11" hidden="1" outlineLevel="2">
      <c r="A250" s="26" t="s">
        <v>136</v>
      </c>
      <c r="B250" s="36">
        <v>5216</v>
      </c>
      <c r="C250" s="90">
        <v>510106</v>
      </c>
      <c r="D250" s="56" t="s">
        <v>113</v>
      </c>
      <c r="F250" s="90"/>
      <c r="G250" s="182">
        <v>16000</v>
      </c>
      <c r="H250" s="201">
        <v>13800</v>
      </c>
      <c r="I250" s="203">
        <v>4757</v>
      </c>
    </row>
    <row r="251" spans="1:11" hidden="1" outlineLevel="2">
      <c r="A251" s="26" t="s">
        <v>136</v>
      </c>
      <c r="B251" s="33">
        <v>5218</v>
      </c>
      <c r="C251" s="90">
        <v>510107</v>
      </c>
      <c r="D251" s="56" t="s">
        <v>114</v>
      </c>
      <c r="G251" s="182">
        <v>5000</v>
      </c>
      <c r="H251" s="201">
        <v>5000</v>
      </c>
      <c r="I251" s="203">
        <v>2550</v>
      </c>
    </row>
    <row r="252" spans="1:11" hidden="1" outlineLevel="2">
      <c r="A252" s="26" t="s">
        <v>136</v>
      </c>
      <c r="B252" s="33">
        <v>5220</v>
      </c>
      <c r="C252" s="90">
        <v>510108</v>
      </c>
      <c r="D252" s="56" t="s">
        <v>116</v>
      </c>
      <c r="G252" s="182">
        <v>90000</v>
      </c>
      <c r="H252" s="201">
        <v>0</v>
      </c>
      <c r="I252" s="203">
        <v>0</v>
      </c>
    </row>
    <row r="253" spans="1:11" hidden="1" outlineLevel="2">
      <c r="A253" s="26" t="s">
        <v>136</v>
      </c>
      <c r="B253" s="33">
        <v>5221</v>
      </c>
      <c r="C253" s="90">
        <v>510109</v>
      </c>
      <c r="D253" s="56" t="s">
        <v>117</v>
      </c>
      <c r="G253" s="182">
        <v>80000</v>
      </c>
      <c r="H253" s="201">
        <v>0</v>
      </c>
      <c r="I253" s="203">
        <v>2794</v>
      </c>
    </row>
    <row r="254" spans="1:11" hidden="1" outlineLevel="2">
      <c r="A254" s="26" t="s">
        <v>136</v>
      </c>
      <c r="B254" s="33">
        <v>5224</v>
      </c>
      <c r="C254" s="90">
        <v>510110</v>
      </c>
      <c r="D254" s="56" t="s">
        <v>115</v>
      </c>
      <c r="F254" s="90"/>
      <c r="G254" s="182">
        <v>15000</v>
      </c>
      <c r="H254" s="201">
        <v>5800</v>
      </c>
      <c r="I254" s="203">
        <v>3607</v>
      </c>
    </row>
    <row r="255" spans="1:11" hidden="1" outlineLevel="2">
      <c r="A255" s="26" t="s">
        <v>136</v>
      </c>
      <c r="B255" s="36">
        <v>5228</v>
      </c>
      <c r="C255" s="90">
        <v>510111</v>
      </c>
      <c r="D255" s="56" t="s">
        <v>118</v>
      </c>
      <c r="F255" s="90"/>
      <c r="G255" s="189">
        <v>10000</v>
      </c>
      <c r="H255" s="202">
        <v>4000</v>
      </c>
      <c r="I255" s="204">
        <v>0</v>
      </c>
    </row>
    <row r="256" spans="1:11" hidden="1" outlineLevel="2">
      <c r="A256" s="26" t="s">
        <v>2</v>
      </c>
      <c r="B256" s="36">
        <v>5229</v>
      </c>
      <c r="C256" s="112">
        <v>510199</v>
      </c>
      <c r="D256" s="55" t="s">
        <v>141</v>
      </c>
      <c r="G256" s="190">
        <f t="shared" ref="G256:I256" si="49">SUM(G245:G255)</f>
        <v>664000</v>
      </c>
      <c r="H256" s="201">
        <f t="shared" si="49"/>
        <v>504800</v>
      </c>
      <c r="I256" s="203">
        <f t="shared" si="49"/>
        <v>467765</v>
      </c>
    </row>
    <row r="257" spans="1:9" hidden="1" outlineLevel="2">
      <c r="B257" s="33"/>
      <c r="D257" s="56"/>
      <c r="G257" s="118"/>
      <c r="H257" s="118"/>
      <c r="I257" s="118"/>
    </row>
    <row r="258" spans="1:9" hidden="1" outlineLevel="2">
      <c r="A258" s="26" t="s">
        <v>0</v>
      </c>
      <c r="B258" s="33"/>
      <c r="C258" s="112">
        <v>510200</v>
      </c>
      <c r="D258" s="169" t="s">
        <v>142</v>
      </c>
      <c r="E258" s="43" t="s">
        <v>62</v>
      </c>
      <c r="F258" s="156"/>
      <c r="G258" s="118"/>
      <c r="H258" s="118"/>
      <c r="I258" s="118"/>
    </row>
    <row r="259" spans="1:9" hidden="1" outlineLevel="2">
      <c r="A259" s="26" t="s">
        <v>136</v>
      </c>
      <c r="B259" s="33">
        <v>30020</v>
      </c>
      <c r="C259" s="90">
        <v>510201</v>
      </c>
      <c r="D259" s="11" t="s">
        <v>156</v>
      </c>
      <c r="F259" s="61"/>
      <c r="G259" s="180">
        <v>0</v>
      </c>
      <c r="H259" s="201">
        <v>135000</v>
      </c>
      <c r="I259" s="203">
        <v>69081</v>
      </c>
    </row>
    <row r="260" spans="1:9" hidden="1" outlineLevel="2">
      <c r="A260" s="26" t="s">
        <v>136</v>
      </c>
      <c r="B260" s="33">
        <v>20001</v>
      </c>
      <c r="C260" s="90">
        <v>510202</v>
      </c>
      <c r="D260" s="11" t="s">
        <v>132</v>
      </c>
      <c r="G260" s="180">
        <v>0</v>
      </c>
      <c r="H260" s="202">
        <v>0</v>
      </c>
      <c r="I260" s="204">
        <v>65919</v>
      </c>
    </row>
    <row r="261" spans="1:9" hidden="1" outlineLevel="2">
      <c r="A261" s="26" t="s">
        <v>2</v>
      </c>
      <c r="B261" s="36">
        <v>30029</v>
      </c>
      <c r="C261" s="112">
        <v>510299</v>
      </c>
      <c r="D261" s="10" t="s">
        <v>155</v>
      </c>
      <c r="F261" s="61"/>
      <c r="G261" s="180">
        <v>0</v>
      </c>
      <c r="H261" s="199">
        <f t="shared" ref="H261:I261" si="50">SUM(H258:H260)</f>
        <v>135000</v>
      </c>
      <c r="I261" s="200">
        <f t="shared" si="50"/>
        <v>135000</v>
      </c>
    </row>
    <row r="262" spans="1:9" hidden="1" outlineLevel="2">
      <c r="B262" s="36"/>
      <c r="C262" s="112"/>
      <c r="F262" s="61"/>
      <c r="G262" s="118"/>
      <c r="H262" s="179"/>
      <c r="I262" s="179"/>
    </row>
    <row r="263" spans="1:9" hidden="1" outlineLevel="2">
      <c r="A263" s="26" t="s">
        <v>2</v>
      </c>
      <c r="B263" s="33"/>
      <c r="C263" s="112">
        <v>519999</v>
      </c>
      <c r="D263" s="10" t="s">
        <v>272</v>
      </c>
      <c r="G263" s="177"/>
      <c r="H263" s="199">
        <f t="shared" ref="H263:I263" si="51">H256+H261</f>
        <v>639800</v>
      </c>
      <c r="I263" s="200">
        <f t="shared" si="51"/>
        <v>602765</v>
      </c>
    </row>
    <row r="264" spans="1:9" hidden="1" outlineLevel="2">
      <c r="B264" s="33"/>
      <c r="G264" s="118"/>
      <c r="H264" s="118"/>
      <c r="I264" s="118"/>
    </row>
    <row r="265" spans="1:9" hidden="1" outlineLevel="1" collapsed="1">
      <c r="A265" s="26" t="s">
        <v>0</v>
      </c>
      <c r="B265" s="34"/>
      <c r="C265" s="112">
        <v>520000</v>
      </c>
      <c r="D265" s="170" t="s">
        <v>187</v>
      </c>
      <c r="E265" s="53" t="s">
        <v>8</v>
      </c>
      <c r="F265" s="157"/>
      <c r="G265" s="180">
        <v>0</v>
      </c>
      <c r="H265" s="201">
        <f t="shared" ref="H265:I265" si="52">H304</f>
        <v>420898.8</v>
      </c>
      <c r="I265" s="203">
        <f t="shared" si="52"/>
        <v>341175</v>
      </c>
    </row>
    <row r="266" spans="1:9" hidden="1" outlineLevel="2">
      <c r="B266" s="34"/>
      <c r="C266" s="112"/>
      <c r="E266" s="10"/>
      <c r="F266" s="42"/>
      <c r="G266" s="177"/>
      <c r="H266" s="118"/>
      <c r="I266" s="118"/>
    </row>
    <row r="267" spans="1:9" hidden="1" outlineLevel="2">
      <c r="A267" s="26" t="s">
        <v>0</v>
      </c>
      <c r="B267" s="34"/>
      <c r="C267" s="112">
        <v>520100</v>
      </c>
      <c r="D267" s="55" t="s">
        <v>274</v>
      </c>
      <c r="E267" s="10"/>
      <c r="F267" s="42"/>
      <c r="G267" s="177"/>
      <c r="H267" s="118"/>
      <c r="I267" s="118"/>
    </row>
    <row r="268" spans="1:9" hidden="1" outlineLevel="2">
      <c r="A268" s="26" t="s">
        <v>136</v>
      </c>
      <c r="B268" s="36">
        <v>51101</v>
      </c>
      <c r="C268" s="90">
        <v>520101</v>
      </c>
      <c r="D268" s="130" t="s">
        <v>91</v>
      </c>
      <c r="E268" s="10"/>
      <c r="F268" s="42"/>
      <c r="G268" s="180">
        <v>7425</v>
      </c>
      <c r="H268" s="201">
        <v>15075</v>
      </c>
      <c r="I268" s="118"/>
    </row>
    <row r="269" spans="1:9" hidden="1" outlineLevel="2">
      <c r="A269" s="26" t="s">
        <v>136</v>
      </c>
      <c r="B269" s="36">
        <v>51102</v>
      </c>
      <c r="C269" s="90">
        <v>520102</v>
      </c>
      <c r="D269" s="130" t="s">
        <v>92</v>
      </c>
      <c r="E269" s="10"/>
      <c r="F269" s="42"/>
      <c r="G269" s="180">
        <v>7425</v>
      </c>
      <c r="H269" s="201">
        <v>15075</v>
      </c>
      <c r="I269" s="118"/>
    </row>
    <row r="270" spans="1:9" hidden="1" outlineLevel="2">
      <c r="A270" s="26" t="s">
        <v>136</v>
      </c>
      <c r="B270" s="36">
        <v>51103</v>
      </c>
      <c r="C270" s="90">
        <v>520103</v>
      </c>
      <c r="D270" s="130" t="s">
        <v>290</v>
      </c>
      <c r="E270" s="10"/>
      <c r="F270" s="42"/>
      <c r="G270" s="180">
        <v>19254</v>
      </c>
      <c r="H270" s="201">
        <v>39090</v>
      </c>
      <c r="I270" s="118"/>
    </row>
    <row r="271" spans="1:9" hidden="1" outlineLevel="2">
      <c r="A271" s="26" t="s">
        <v>136</v>
      </c>
      <c r="B271" s="36">
        <v>51105</v>
      </c>
      <c r="C271" s="90">
        <v>520104</v>
      </c>
      <c r="D271" s="130" t="s">
        <v>289</v>
      </c>
      <c r="E271" s="10"/>
      <c r="F271" s="42"/>
      <c r="G271" s="180">
        <v>10502</v>
      </c>
      <c r="H271" s="201">
        <v>21322</v>
      </c>
      <c r="I271" s="118"/>
    </row>
    <row r="272" spans="1:9" hidden="1" outlineLevel="2">
      <c r="A272" s="26" t="s">
        <v>136</v>
      </c>
      <c r="B272" s="36">
        <v>51108</v>
      </c>
      <c r="C272" s="90">
        <v>520105</v>
      </c>
      <c r="D272" s="130" t="s">
        <v>291</v>
      </c>
      <c r="E272" s="10"/>
      <c r="F272" s="42"/>
      <c r="G272" s="180">
        <v>6336</v>
      </c>
      <c r="H272" s="201">
        <v>12864</v>
      </c>
      <c r="I272" s="118"/>
    </row>
    <row r="273" spans="1:9" hidden="1" outlineLevel="2">
      <c r="A273" s="26" t="s">
        <v>136</v>
      </c>
      <c r="B273" s="36">
        <v>51113</v>
      </c>
      <c r="C273" s="90">
        <v>520106</v>
      </c>
      <c r="D273" s="130" t="s">
        <v>93</v>
      </c>
      <c r="E273" s="10"/>
      <c r="F273" s="42"/>
      <c r="G273" s="180">
        <v>2640</v>
      </c>
      <c r="H273" s="201">
        <v>5360</v>
      </c>
      <c r="I273" s="118"/>
    </row>
    <row r="274" spans="1:9" hidden="1" outlineLevel="2">
      <c r="A274" s="26" t="s">
        <v>136</v>
      </c>
      <c r="B274" s="36"/>
      <c r="C274" s="110">
        <v>520119</v>
      </c>
      <c r="D274" s="130" t="s">
        <v>296</v>
      </c>
      <c r="E274" s="10"/>
      <c r="F274" s="158"/>
      <c r="G274" s="180">
        <v>0</v>
      </c>
      <c r="H274" s="201">
        <v>0</v>
      </c>
      <c r="I274" s="118"/>
    </row>
    <row r="275" spans="1:9" hidden="1" outlineLevel="2">
      <c r="A275" s="26" t="s">
        <v>2</v>
      </c>
      <c r="B275" s="36">
        <v>51119</v>
      </c>
      <c r="C275" s="90">
        <v>520199</v>
      </c>
      <c r="D275" s="171" t="s">
        <v>135</v>
      </c>
      <c r="E275" s="10"/>
      <c r="F275" s="42"/>
      <c r="G275" s="191">
        <f>SUM(G268:G274)</f>
        <v>53582</v>
      </c>
      <c r="H275" s="199">
        <f>SUM(H268:H274)</f>
        <v>108786</v>
      </c>
      <c r="I275" s="200">
        <v>116669</v>
      </c>
    </row>
    <row r="276" spans="1:9" hidden="1" outlineLevel="2">
      <c r="B276" s="34"/>
      <c r="C276" s="114"/>
      <c r="D276" s="172"/>
      <c r="E276" s="10"/>
      <c r="F276" s="42"/>
      <c r="G276" s="118"/>
      <c r="H276" s="179"/>
      <c r="I276" s="179"/>
    </row>
    <row r="277" spans="1:9" hidden="1" outlineLevel="2">
      <c r="A277" s="26" t="s">
        <v>0</v>
      </c>
      <c r="B277" s="36"/>
      <c r="C277" s="112">
        <v>520200</v>
      </c>
      <c r="D277" s="55" t="s">
        <v>273</v>
      </c>
      <c r="E277" s="10"/>
      <c r="F277" s="42"/>
      <c r="G277" s="177"/>
      <c r="H277" s="201"/>
      <c r="I277" s="118"/>
    </row>
    <row r="278" spans="1:9" hidden="1" outlineLevel="2">
      <c r="A278" s="26" t="s">
        <v>136</v>
      </c>
      <c r="B278" s="36">
        <v>51201</v>
      </c>
      <c r="C278" s="90">
        <v>520201</v>
      </c>
      <c r="D278" s="130" t="s">
        <v>178</v>
      </c>
      <c r="E278" s="10"/>
      <c r="F278" s="63"/>
      <c r="G278" s="180">
        <v>26695</v>
      </c>
      <c r="H278" s="201">
        <v>54200</v>
      </c>
      <c r="I278" s="118"/>
    </row>
    <row r="279" spans="1:9" hidden="1" outlineLevel="2">
      <c r="A279" s="26" t="s">
        <v>136</v>
      </c>
      <c r="B279" s="36">
        <v>51202</v>
      </c>
      <c r="C279" s="90">
        <v>520202</v>
      </c>
      <c r="D279" s="130" t="s">
        <v>177</v>
      </c>
      <c r="E279" s="10"/>
      <c r="F279" s="63"/>
      <c r="G279" s="180"/>
      <c r="H279" s="201"/>
      <c r="I279" s="118"/>
    </row>
    <row r="280" spans="1:9" hidden="1" outlineLevel="2">
      <c r="A280" s="26" t="s">
        <v>136</v>
      </c>
      <c r="B280" s="36"/>
      <c r="C280" s="110">
        <v>520203</v>
      </c>
      <c r="D280" s="130" t="s">
        <v>292</v>
      </c>
      <c r="E280" s="10"/>
      <c r="F280" s="158"/>
      <c r="G280" s="180">
        <v>0</v>
      </c>
      <c r="H280" s="201">
        <v>0</v>
      </c>
      <c r="I280" s="118"/>
    </row>
    <row r="281" spans="1:9" hidden="1" outlineLevel="2">
      <c r="A281" s="26" t="s">
        <v>2</v>
      </c>
      <c r="B281" s="36"/>
      <c r="C281" s="112">
        <v>520299</v>
      </c>
      <c r="D281" s="171" t="s">
        <v>188</v>
      </c>
      <c r="E281" s="10"/>
      <c r="F281" s="63"/>
      <c r="G281" s="177">
        <f>SUM(G278:G279)</f>
        <v>26695</v>
      </c>
      <c r="H281" s="199">
        <f>SUM(H278:H279)</f>
        <v>54200</v>
      </c>
      <c r="I281" s="200">
        <v>44508</v>
      </c>
    </row>
    <row r="282" spans="1:9" ht="15.75" hidden="1" customHeight="1" outlineLevel="2">
      <c r="B282" s="34"/>
      <c r="C282" s="114"/>
      <c r="D282" s="172"/>
      <c r="E282" s="10"/>
      <c r="F282" s="42"/>
      <c r="G282" s="118"/>
      <c r="H282" s="118"/>
      <c r="I282" s="118"/>
    </row>
    <row r="283" spans="1:9" ht="15" hidden="1" customHeight="1" outlineLevel="2">
      <c r="A283" s="26" t="s">
        <v>0</v>
      </c>
      <c r="B283" s="36"/>
      <c r="C283" s="112">
        <v>520300</v>
      </c>
      <c r="D283" s="55" t="s">
        <v>293</v>
      </c>
      <c r="E283" s="10"/>
      <c r="F283" s="42"/>
      <c r="G283" s="118"/>
      <c r="H283" s="118"/>
      <c r="I283" s="118"/>
    </row>
    <row r="284" spans="1:9" ht="15" hidden="1" outlineLevel="2">
      <c r="A284" s="26" t="s">
        <v>136</v>
      </c>
      <c r="B284" s="36">
        <v>51301</v>
      </c>
      <c r="C284" s="90">
        <v>520301</v>
      </c>
      <c r="D284" s="130" t="s">
        <v>196</v>
      </c>
      <c r="E284"/>
      <c r="F284" s="63"/>
      <c r="G284" s="180">
        <v>41838</v>
      </c>
      <c r="H284" s="201">
        <v>84943</v>
      </c>
      <c r="I284" s="118"/>
    </row>
    <row r="285" spans="1:9" ht="15" hidden="1" customHeight="1" outlineLevel="2">
      <c r="A285" s="26" t="s">
        <v>136</v>
      </c>
      <c r="B285" s="36">
        <v>51302</v>
      </c>
      <c r="C285" s="90">
        <v>520302</v>
      </c>
      <c r="D285" s="130" t="s">
        <v>197</v>
      </c>
      <c r="E285"/>
      <c r="F285" s="63"/>
      <c r="G285" s="180"/>
      <c r="H285" s="201"/>
      <c r="I285" s="118"/>
    </row>
    <row r="286" spans="1:9" ht="15" hidden="1" outlineLevel="2">
      <c r="A286" s="26" t="s">
        <v>136</v>
      </c>
      <c r="B286" s="36">
        <v>51303</v>
      </c>
      <c r="C286" s="90">
        <v>520303</v>
      </c>
      <c r="D286" s="130" t="s">
        <v>286</v>
      </c>
      <c r="E286"/>
      <c r="F286" s="118"/>
      <c r="G286" s="180">
        <v>7673</v>
      </c>
      <c r="H286" s="201">
        <v>15577</v>
      </c>
      <c r="I286" s="118"/>
    </row>
    <row r="287" spans="1:9" ht="15" hidden="1" outlineLevel="2">
      <c r="A287" s="26" t="s">
        <v>136</v>
      </c>
      <c r="B287" s="36">
        <v>51304</v>
      </c>
      <c r="C287" s="90">
        <v>520304</v>
      </c>
      <c r="D287" s="130" t="s">
        <v>287</v>
      </c>
      <c r="E287"/>
      <c r="F287" s="118"/>
      <c r="G287" s="180">
        <v>3886</v>
      </c>
      <c r="H287" s="201">
        <v>7889</v>
      </c>
      <c r="I287" s="118"/>
    </row>
    <row r="288" spans="1:9" ht="15" hidden="1" outlineLevel="2">
      <c r="A288" s="26" t="s">
        <v>136</v>
      </c>
      <c r="B288" s="36">
        <v>51305</v>
      </c>
      <c r="C288" s="90">
        <v>520305</v>
      </c>
      <c r="D288" s="130" t="s">
        <v>94</v>
      </c>
      <c r="E288"/>
      <c r="F288" s="118"/>
      <c r="G288" s="180">
        <v>2970</v>
      </c>
      <c r="H288" s="201">
        <v>6030</v>
      </c>
      <c r="I288" s="118"/>
    </row>
    <row r="289" spans="1:10" ht="15" hidden="1" outlineLevel="2">
      <c r="A289" s="26" t="s">
        <v>136</v>
      </c>
      <c r="B289" s="36">
        <v>51311</v>
      </c>
      <c r="C289" s="90">
        <v>520311</v>
      </c>
      <c r="D289" s="130" t="s">
        <v>97</v>
      </c>
      <c r="E289"/>
      <c r="F289" s="486" t="s">
        <v>307</v>
      </c>
      <c r="G289" s="180">
        <v>3630</v>
      </c>
      <c r="H289" s="201">
        <v>7370</v>
      </c>
      <c r="I289" s="118"/>
    </row>
    <row r="290" spans="1:10" ht="15" hidden="1" outlineLevel="2">
      <c r="A290" s="26" t="s">
        <v>136</v>
      </c>
      <c r="B290" s="36">
        <v>51312</v>
      </c>
      <c r="C290" s="90">
        <v>520312</v>
      </c>
      <c r="D290" s="130" t="s">
        <v>95</v>
      </c>
      <c r="E290"/>
      <c r="F290" s="487"/>
      <c r="G290" s="180">
        <v>10395</v>
      </c>
      <c r="H290" s="201">
        <v>21105</v>
      </c>
      <c r="I290" s="118"/>
    </row>
    <row r="291" spans="1:10" ht="15" hidden="1" outlineLevel="2">
      <c r="A291" s="26" t="s">
        <v>136</v>
      </c>
      <c r="B291" s="36">
        <v>51313</v>
      </c>
      <c r="C291" s="90">
        <v>520313</v>
      </c>
      <c r="D291" s="130" t="s">
        <v>96</v>
      </c>
      <c r="E291"/>
      <c r="F291" s="488"/>
      <c r="G291" s="180">
        <v>10230</v>
      </c>
      <c r="H291" s="201">
        <v>20770</v>
      </c>
      <c r="I291" s="118"/>
    </row>
    <row r="292" spans="1:10" ht="15" hidden="1" outlineLevel="2">
      <c r="A292" s="26" t="s">
        <v>136</v>
      </c>
      <c r="B292" s="36">
        <v>51322</v>
      </c>
      <c r="C292" s="90">
        <v>520322</v>
      </c>
      <c r="D292" s="130" t="s">
        <v>98</v>
      </c>
      <c r="E292"/>
      <c r="F292" s="73"/>
      <c r="G292" s="180">
        <v>24420</v>
      </c>
      <c r="H292" s="201">
        <v>49580</v>
      </c>
      <c r="I292" s="118"/>
    </row>
    <row r="293" spans="1:10" ht="15" hidden="1" outlineLevel="2">
      <c r="A293" s="26" t="s">
        <v>136</v>
      </c>
      <c r="B293" s="36">
        <v>51324</v>
      </c>
      <c r="C293" s="90">
        <v>520324</v>
      </c>
      <c r="D293" s="130" t="s">
        <v>99</v>
      </c>
      <c r="E293"/>
      <c r="F293" s="73"/>
      <c r="G293" s="180">
        <v>4950</v>
      </c>
      <c r="H293" s="201">
        <v>10050</v>
      </c>
      <c r="I293" s="118"/>
    </row>
    <row r="294" spans="1:10" ht="15" hidden="1" outlineLevel="2">
      <c r="A294" s="26" t="s">
        <v>136</v>
      </c>
      <c r="B294" s="36">
        <v>51326</v>
      </c>
      <c r="C294" s="90">
        <v>520326</v>
      </c>
      <c r="D294" s="130" t="s">
        <v>103</v>
      </c>
      <c r="E294"/>
      <c r="F294" s="73" t="s">
        <v>308</v>
      </c>
      <c r="G294" s="180">
        <v>3300</v>
      </c>
      <c r="H294" s="201">
        <v>6700</v>
      </c>
      <c r="I294" s="118"/>
    </row>
    <row r="295" spans="1:10" ht="15" hidden="1" outlineLevel="2">
      <c r="A295" s="26" t="s">
        <v>136</v>
      </c>
      <c r="B295" s="36"/>
      <c r="C295" s="110">
        <v>520338</v>
      </c>
      <c r="D295" s="130" t="s">
        <v>302</v>
      </c>
      <c r="E295"/>
      <c r="F295" s="158"/>
      <c r="G295" s="180">
        <v>0</v>
      </c>
      <c r="H295" s="201">
        <v>0</v>
      </c>
      <c r="I295" s="118"/>
    </row>
    <row r="296" spans="1:10" ht="15" hidden="1" outlineLevel="2">
      <c r="A296" s="26" t="s">
        <v>2</v>
      </c>
      <c r="B296" s="36">
        <v>51339</v>
      </c>
      <c r="C296" s="112">
        <v>520399</v>
      </c>
      <c r="D296" s="171" t="s">
        <v>294</v>
      </c>
      <c r="E296"/>
      <c r="F296" s="73"/>
      <c r="G296" s="177">
        <f>SUM(G284:G295)</f>
        <v>113292</v>
      </c>
      <c r="H296" s="199">
        <f>SUM(H284:H295)</f>
        <v>230014</v>
      </c>
      <c r="I296" s="200">
        <v>136722</v>
      </c>
    </row>
    <row r="297" spans="1:10" ht="15" hidden="1" outlineLevel="2">
      <c r="B297" s="34"/>
      <c r="C297" s="114"/>
      <c r="D297" s="172"/>
      <c r="E297"/>
      <c r="F297" s="73"/>
      <c r="G297" s="118"/>
      <c r="H297" s="118"/>
      <c r="I297" s="118"/>
    </row>
    <row r="298" spans="1:10" hidden="1" outlineLevel="2">
      <c r="A298" s="26" t="s">
        <v>0</v>
      </c>
      <c r="B298" s="36"/>
      <c r="C298" s="112">
        <v>520400</v>
      </c>
      <c r="D298" s="55" t="s">
        <v>275</v>
      </c>
      <c r="E298" s="10"/>
      <c r="F298" s="42"/>
      <c r="G298" s="118"/>
      <c r="H298" s="118"/>
      <c r="I298" s="118"/>
    </row>
    <row r="299" spans="1:10" ht="15" hidden="1" outlineLevel="2">
      <c r="A299" s="26" t="s">
        <v>136</v>
      </c>
      <c r="B299" s="36">
        <v>51401</v>
      </c>
      <c r="C299" s="90">
        <v>520401</v>
      </c>
      <c r="D299" s="130" t="s">
        <v>284</v>
      </c>
      <c r="E299" s="10"/>
      <c r="F299" s="42"/>
      <c r="G299" s="180">
        <v>11484</v>
      </c>
      <c r="H299" s="201">
        <v>23316</v>
      </c>
      <c r="I299" s="118"/>
      <c r="J299" s="8"/>
    </row>
    <row r="300" spans="1:10" ht="15" hidden="1" outlineLevel="2">
      <c r="A300" s="26" t="s">
        <v>136</v>
      </c>
      <c r="B300" s="36">
        <v>51403</v>
      </c>
      <c r="C300" s="90">
        <v>520403</v>
      </c>
      <c r="D300" s="130" t="s">
        <v>285</v>
      </c>
      <c r="E300" s="10"/>
      <c r="F300" s="42"/>
      <c r="G300" s="180">
        <v>277.2</v>
      </c>
      <c r="H300" s="201">
        <v>562.79999999999995</v>
      </c>
      <c r="I300" s="118"/>
      <c r="J300" s="8"/>
    </row>
    <row r="301" spans="1:10" ht="15" hidden="1" outlineLevel="2">
      <c r="A301" s="26" t="s">
        <v>136</v>
      </c>
      <c r="B301" s="36">
        <v>51405</v>
      </c>
      <c r="C301" s="90">
        <v>520405</v>
      </c>
      <c r="D301" s="130" t="s">
        <v>288</v>
      </c>
      <c r="E301" s="10"/>
      <c r="F301" s="42"/>
      <c r="G301" s="180">
        <v>1980</v>
      </c>
      <c r="H301" s="201">
        <v>4020</v>
      </c>
      <c r="I301" s="118"/>
      <c r="J301" s="8"/>
    </row>
    <row r="302" spans="1:10" hidden="1" outlineLevel="2">
      <c r="A302" s="26" t="s">
        <v>2</v>
      </c>
      <c r="B302" s="36">
        <v>51449</v>
      </c>
      <c r="C302" s="112">
        <v>520499</v>
      </c>
      <c r="D302" s="171" t="s">
        <v>137</v>
      </c>
      <c r="E302" s="10"/>
      <c r="F302" s="42"/>
      <c r="G302" s="177">
        <f>SUM(G299:G301)</f>
        <v>13741.2</v>
      </c>
      <c r="H302" s="199">
        <f>SUM(H299:H301)</f>
        <v>27898.799999999999</v>
      </c>
      <c r="I302" s="200">
        <v>43276</v>
      </c>
      <c r="J302" s="62"/>
    </row>
    <row r="303" spans="1:10" hidden="1" outlineLevel="2">
      <c r="B303" s="36"/>
      <c r="C303" s="26"/>
      <c r="D303" s="173"/>
      <c r="E303" s="4"/>
      <c r="F303" s="42"/>
      <c r="G303" s="180"/>
      <c r="H303" s="118"/>
      <c r="I303" s="118"/>
    </row>
    <row r="304" spans="1:10" hidden="1" outlineLevel="2">
      <c r="A304" s="26" t="s">
        <v>2</v>
      </c>
      <c r="B304" s="36">
        <v>51559</v>
      </c>
      <c r="C304" s="112">
        <v>520599</v>
      </c>
      <c r="D304" s="10" t="s">
        <v>138</v>
      </c>
      <c r="E304" s="4"/>
      <c r="F304" s="42"/>
      <c r="G304" s="177">
        <f>G275+G278+G296+G302</f>
        <v>207310.2</v>
      </c>
      <c r="H304" s="199">
        <f t="shared" ref="H304:I304" si="53">H275+H281+H296+H302</f>
        <v>420898.8</v>
      </c>
      <c r="I304" s="200">
        <f t="shared" si="53"/>
        <v>341175</v>
      </c>
      <c r="J304" s="5"/>
    </row>
    <row r="305" spans="1:9" ht="15" hidden="1" customHeight="1" outlineLevel="2">
      <c r="B305" s="33"/>
      <c r="C305" s="112"/>
      <c r="E305" s="10"/>
      <c r="F305" s="42"/>
      <c r="G305" s="179"/>
      <c r="H305" s="118"/>
      <c r="I305" s="118"/>
    </row>
    <row r="306" spans="1:9" hidden="1" outlineLevel="2">
      <c r="B306" s="33"/>
      <c r="D306" s="10"/>
      <c r="G306" s="118"/>
      <c r="H306" s="118"/>
      <c r="I306" s="118"/>
    </row>
    <row r="307" spans="1:9" hidden="1" outlineLevel="1" collapsed="1">
      <c r="A307" s="44" t="s">
        <v>0</v>
      </c>
      <c r="B307" s="36"/>
      <c r="C307" s="112">
        <v>530000</v>
      </c>
      <c r="D307" s="51" t="s">
        <v>329</v>
      </c>
      <c r="E307" s="14" t="s">
        <v>61</v>
      </c>
      <c r="F307" s="138"/>
      <c r="G307" s="180">
        <v>0</v>
      </c>
      <c r="H307" s="145">
        <f>SUM(H308:H308)</f>
        <v>12925</v>
      </c>
      <c r="I307" s="209">
        <f>SUM(I308:I308)</f>
        <v>14110</v>
      </c>
    </row>
    <row r="308" spans="1:9" hidden="1" outlineLevel="2">
      <c r="A308" s="44" t="s">
        <v>136</v>
      </c>
      <c r="B308" s="36">
        <v>5135</v>
      </c>
      <c r="C308" s="90">
        <v>530001</v>
      </c>
      <c r="D308" s="11" t="s">
        <v>159</v>
      </c>
      <c r="E308" s="11" t="s">
        <v>61</v>
      </c>
      <c r="F308" s="26" t="s">
        <v>297</v>
      </c>
      <c r="G308" s="118"/>
      <c r="H308" s="201">
        <v>12925</v>
      </c>
      <c r="I308" s="203">
        <v>14110</v>
      </c>
    </row>
    <row r="309" spans="1:9" hidden="1" outlineLevel="2">
      <c r="A309" s="44" t="s">
        <v>2</v>
      </c>
      <c r="B309" s="36">
        <v>5139</v>
      </c>
      <c r="C309" s="90">
        <v>530009</v>
      </c>
      <c r="D309" s="11" t="s">
        <v>179</v>
      </c>
      <c r="E309" s="11" t="s">
        <v>61</v>
      </c>
      <c r="H309" s="201">
        <f t="shared" ref="H309:I309" si="54">H308</f>
        <v>12925</v>
      </c>
      <c r="I309" s="203">
        <f t="shared" si="54"/>
        <v>14110</v>
      </c>
    </row>
    <row r="310" spans="1:9" hidden="1" outlineLevel="2">
      <c r="A310" s="44"/>
      <c r="B310" s="36"/>
      <c r="G310" s="118"/>
      <c r="H310" s="201"/>
      <c r="I310" s="118"/>
    </row>
    <row r="311" spans="1:9">
      <c r="A311" s="26" t="s">
        <v>2</v>
      </c>
      <c r="B311" s="33"/>
      <c r="C311" s="115">
        <v>599998</v>
      </c>
      <c r="D311" s="163" t="s">
        <v>170</v>
      </c>
      <c r="E311" s="48"/>
      <c r="F311" s="159"/>
      <c r="G311" s="192">
        <f t="shared" ref="G311:I311" si="55">G46+G83+G115+G137+G173+G204+G217+G222+G241</f>
        <v>1935064</v>
      </c>
      <c r="H311" s="192">
        <f t="shared" si="55"/>
        <v>2868633.8</v>
      </c>
      <c r="I311" s="200">
        <f t="shared" si="55"/>
        <v>2793676</v>
      </c>
    </row>
    <row r="312" spans="1:9" ht="8.1" customHeight="1">
      <c r="A312" s="66"/>
      <c r="B312" s="39"/>
      <c r="C312" s="116"/>
      <c r="D312" s="40"/>
      <c r="E312" s="40"/>
      <c r="F312" s="160"/>
      <c r="G312" s="193"/>
      <c r="H312" s="193"/>
      <c r="I312" s="193"/>
    </row>
    <row r="313" spans="1:9" ht="15.75">
      <c r="A313" s="26" t="s">
        <v>2</v>
      </c>
      <c r="B313" s="33"/>
      <c r="C313" s="112">
        <v>599999</v>
      </c>
      <c r="D313" s="174" t="s">
        <v>130</v>
      </c>
      <c r="E313" s="28"/>
      <c r="F313" s="161"/>
      <c r="G313" s="194">
        <f t="shared" ref="G313:I313" si="56">G4-G311</f>
        <v>20928</v>
      </c>
      <c r="H313" s="194">
        <f t="shared" si="56"/>
        <v>131325.20000000019</v>
      </c>
      <c r="I313" s="208">
        <f t="shared" si="56"/>
        <v>278250</v>
      </c>
    </row>
    <row r="314" spans="1:9" ht="10.15" customHeight="1">
      <c r="B314" s="33"/>
      <c r="C314" s="112"/>
      <c r="D314" s="117"/>
      <c r="E314" s="28"/>
      <c r="F314" s="42"/>
      <c r="G314" s="194"/>
      <c r="H314" s="207"/>
      <c r="I314" s="207"/>
    </row>
    <row r="315" spans="1:9">
      <c r="A315" s="26" t="s">
        <v>136</v>
      </c>
      <c r="B315" s="33">
        <v>2060</v>
      </c>
      <c r="C315" s="112">
        <v>600001</v>
      </c>
      <c r="D315" s="174" t="s">
        <v>7</v>
      </c>
      <c r="E315" s="11" t="s">
        <v>60</v>
      </c>
      <c r="G315" s="195">
        <v>0</v>
      </c>
      <c r="H315" s="145">
        <v>85000</v>
      </c>
      <c r="I315" s="209">
        <v>76673</v>
      </c>
    </row>
    <row r="316" spans="1:9" ht="10.15" customHeight="1">
      <c r="B316" s="33"/>
      <c r="C316" s="112"/>
      <c r="D316" s="117"/>
      <c r="E316" s="28"/>
      <c r="F316" s="42"/>
      <c r="G316" s="194"/>
      <c r="H316" s="207"/>
      <c r="I316" s="207"/>
    </row>
    <row r="317" spans="1:9" ht="15.75">
      <c r="A317" s="26" t="s">
        <v>2</v>
      </c>
      <c r="B317" s="33"/>
      <c r="C317" s="112">
        <v>699999</v>
      </c>
      <c r="D317" s="174" t="s">
        <v>129</v>
      </c>
      <c r="E317" s="28"/>
      <c r="F317" s="66" t="s">
        <v>139</v>
      </c>
      <c r="G317" s="194">
        <f t="shared" ref="G317:I317" si="57">G313-G315</f>
        <v>20928</v>
      </c>
      <c r="H317" s="194">
        <f t="shared" si="57"/>
        <v>46325.200000000186</v>
      </c>
      <c r="I317" s="208">
        <f t="shared" si="57"/>
        <v>201577</v>
      </c>
    </row>
    <row r="318" spans="1:9" ht="10.15" customHeight="1">
      <c r="B318" s="33"/>
      <c r="C318" s="112"/>
      <c r="D318" s="117"/>
      <c r="E318" s="28"/>
      <c r="F318" s="42"/>
      <c r="G318" s="194"/>
      <c r="H318" s="194"/>
      <c r="I318" s="194"/>
    </row>
    <row r="319" spans="1:9" ht="15.75" collapsed="1">
      <c r="A319" s="26" t="s">
        <v>0</v>
      </c>
      <c r="B319" s="33"/>
      <c r="C319" s="112">
        <v>700000</v>
      </c>
      <c r="D319" s="174" t="s">
        <v>157</v>
      </c>
      <c r="E319" s="28"/>
      <c r="F319" s="42"/>
      <c r="G319" s="195">
        <f>G329</f>
        <v>0</v>
      </c>
      <c r="H319" s="145">
        <f>H329</f>
        <v>4000</v>
      </c>
      <c r="I319" s="209">
        <f>I329</f>
        <v>3381</v>
      </c>
    </row>
    <row r="320" spans="1:9" hidden="1" outlineLevel="1">
      <c r="A320" s="26" t="s">
        <v>136</v>
      </c>
      <c r="B320" s="36">
        <v>1500</v>
      </c>
      <c r="C320" s="90">
        <v>710001</v>
      </c>
      <c r="D320" s="11" t="s">
        <v>276</v>
      </c>
      <c r="G320" s="118"/>
      <c r="H320" s="118">
        <v>0</v>
      </c>
      <c r="I320" s="118"/>
    </row>
    <row r="321" spans="1:9" hidden="1" outlineLevel="1">
      <c r="A321" s="26" t="s">
        <v>136</v>
      </c>
      <c r="B321" s="36">
        <v>1505</v>
      </c>
      <c r="C321" s="90">
        <v>710002</v>
      </c>
      <c r="D321" s="11" t="s">
        <v>277</v>
      </c>
      <c r="G321" s="118"/>
      <c r="H321" s="118">
        <v>0</v>
      </c>
      <c r="I321" s="118"/>
    </row>
    <row r="322" spans="1:9" hidden="1" outlineLevel="1">
      <c r="A322" s="26" t="s">
        <v>136</v>
      </c>
      <c r="B322" s="36"/>
      <c r="C322" s="90">
        <v>710003</v>
      </c>
      <c r="D322" s="11" t="s">
        <v>278</v>
      </c>
      <c r="G322" s="118"/>
      <c r="H322" s="118">
        <v>0</v>
      </c>
      <c r="I322" s="118"/>
    </row>
    <row r="323" spans="1:9" hidden="1" outlineLevel="1">
      <c r="A323" s="26" t="s">
        <v>136</v>
      </c>
      <c r="B323" s="36"/>
      <c r="C323" s="90">
        <v>710004</v>
      </c>
      <c r="D323" s="11" t="s">
        <v>279</v>
      </c>
      <c r="G323" s="118"/>
      <c r="H323" s="118">
        <v>0</v>
      </c>
      <c r="I323" s="118"/>
    </row>
    <row r="324" spans="1:9" hidden="1" outlineLevel="1">
      <c r="A324" s="26" t="s">
        <v>136</v>
      </c>
      <c r="B324" s="36"/>
      <c r="C324" s="90">
        <v>710005</v>
      </c>
      <c r="D324" s="11" t="s">
        <v>280</v>
      </c>
      <c r="G324" s="118"/>
      <c r="H324" s="118">
        <v>0</v>
      </c>
      <c r="I324" s="118"/>
    </row>
    <row r="325" spans="1:9" hidden="1" outlineLevel="1">
      <c r="A325" s="26" t="s">
        <v>136</v>
      </c>
      <c r="B325" s="36"/>
      <c r="C325" s="90">
        <v>720001</v>
      </c>
      <c r="D325" s="11" t="s">
        <v>281</v>
      </c>
      <c r="G325" s="118"/>
      <c r="H325" s="118">
        <v>0</v>
      </c>
      <c r="I325" s="118"/>
    </row>
    <row r="326" spans="1:9" hidden="1" outlineLevel="1">
      <c r="A326" s="26" t="s">
        <v>136</v>
      </c>
      <c r="B326" s="36">
        <v>2015</v>
      </c>
      <c r="C326" s="90">
        <v>720003</v>
      </c>
      <c r="D326" s="11" t="s">
        <v>86</v>
      </c>
      <c r="G326" s="118"/>
      <c r="H326" s="118">
        <v>4000</v>
      </c>
      <c r="I326" s="203">
        <v>3381</v>
      </c>
    </row>
    <row r="327" spans="1:9" hidden="1" outlineLevel="1">
      <c r="A327" s="26" t="s">
        <v>136</v>
      </c>
      <c r="B327" s="36"/>
      <c r="C327" s="90">
        <v>720005</v>
      </c>
      <c r="D327" s="11" t="s">
        <v>282</v>
      </c>
      <c r="G327" s="118"/>
      <c r="H327" s="118">
        <v>0</v>
      </c>
      <c r="I327" s="118"/>
    </row>
    <row r="328" spans="1:9" hidden="1" outlineLevel="1">
      <c r="A328" s="26" t="s">
        <v>136</v>
      </c>
      <c r="B328" s="36"/>
      <c r="C328" s="90">
        <v>720006</v>
      </c>
      <c r="D328" s="11" t="s">
        <v>283</v>
      </c>
      <c r="G328" s="118"/>
      <c r="H328" s="118">
        <v>0</v>
      </c>
      <c r="I328" s="118"/>
    </row>
    <row r="329" spans="1:9" hidden="1" outlineLevel="1">
      <c r="A329" s="26" t="s">
        <v>2</v>
      </c>
      <c r="B329" s="36">
        <v>1519</v>
      </c>
      <c r="C329" s="112">
        <v>790009</v>
      </c>
      <c r="D329" s="10" t="s">
        <v>149</v>
      </c>
      <c r="G329" s="118">
        <f>SUM(G320:G326)</f>
        <v>0</v>
      </c>
      <c r="H329" s="118">
        <f>SUM(H320:H328)</f>
        <v>4000</v>
      </c>
      <c r="I329" s="200">
        <f>SUM(I320:I328)</f>
        <v>3381</v>
      </c>
    </row>
    <row r="330" spans="1:9" ht="10.15" customHeight="1">
      <c r="B330" s="34"/>
      <c r="G330" s="118"/>
      <c r="H330" s="118"/>
      <c r="I330" s="118"/>
    </row>
    <row r="331" spans="1:9" ht="16.5" thickBot="1">
      <c r="A331" s="26" t="s">
        <v>2</v>
      </c>
      <c r="B331" s="33"/>
      <c r="C331" s="112">
        <v>799999</v>
      </c>
      <c r="D331" s="174" t="s">
        <v>162</v>
      </c>
      <c r="E331" s="28"/>
      <c r="F331" s="66" t="s">
        <v>139</v>
      </c>
      <c r="G331" s="196">
        <f t="shared" ref="G331:I331" si="58">G317-G329</f>
        <v>20928</v>
      </c>
      <c r="H331" s="196">
        <f t="shared" si="58"/>
        <v>42325.200000000186</v>
      </c>
      <c r="I331" s="210">
        <f t="shared" si="58"/>
        <v>198196</v>
      </c>
    </row>
    <row r="332" spans="1:9" ht="13.5" thickTop="1">
      <c r="G332" s="118"/>
    </row>
    <row r="333" spans="1:9">
      <c r="G333" s="118"/>
    </row>
    <row r="334" spans="1:9">
      <c r="G334" s="118"/>
    </row>
    <row r="335" spans="1:9">
      <c r="G335" s="118"/>
    </row>
    <row r="336" spans="1:9">
      <c r="G336" s="118"/>
    </row>
    <row r="337" spans="7:7">
      <c r="G337" s="118"/>
    </row>
    <row r="338" spans="7:7">
      <c r="G338" s="118"/>
    </row>
    <row r="339" spans="7:7">
      <c r="G339" s="118"/>
    </row>
    <row r="340" spans="7:7">
      <c r="G340" s="118"/>
    </row>
    <row r="341" spans="7:7">
      <c r="G341" s="118"/>
    </row>
    <row r="342" spans="7:7">
      <c r="G342" s="118"/>
    </row>
    <row r="343" spans="7:7">
      <c r="G343" s="118"/>
    </row>
    <row r="344" spans="7:7">
      <c r="G344" s="118"/>
    </row>
    <row r="345" spans="7:7">
      <c r="G345" s="118"/>
    </row>
  </sheetData>
  <mergeCells count="1">
    <mergeCell ref="F289:F291"/>
  </mergeCells>
  <conditionalFormatting sqref="H313">
    <cfRule type="cellIs" dxfId="11" priority="51" operator="lessThan">
      <formula>0</formula>
    </cfRule>
    <cfRule type="cellIs" dxfId="10" priority="52" operator="greaterThan">
      <formula>0</formula>
    </cfRule>
  </conditionalFormatting>
  <conditionalFormatting sqref="H318:I318 H317">
    <cfRule type="cellIs" dxfId="9" priority="49" operator="lessThan">
      <formula>0</formula>
    </cfRule>
    <cfRule type="cellIs" dxfId="8" priority="50" operator="greaterThan">
      <formula>0</formula>
    </cfRule>
  </conditionalFormatting>
  <conditionalFormatting sqref="G317:G318">
    <cfRule type="cellIs" dxfId="7" priority="47" operator="lessThan">
      <formula>0</formula>
    </cfRule>
    <cfRule type="cellIs" dxfId="6" priority="48" operator="greaterThan">
      <formula>0</formula>
    </cfRule>
  </conditionalFormatting>
  <conditionalFormatting sqref="G331">
    <cfRule type="cellIs" dxfId="5" priority="45" operator="lessThan">
      <formula>0</formula>
    </cfRule>
    <cfRule type="cellIs" dxfId="4" priority="46" operator="greaterThan">
      <formula>0</formula>
    </cfRule>
  </conditionalFormatting>
  <conditionalFormatting sqref="H331">
    <cfRule type="cellIs" dxfId="3" priority="43" operator="lessThan">
      <formula>0</formula>
    </cfRule>
    <cfRule type="cellIs" dxfId="2" priority="44" operator="greaterThan">
      <formula>0</formula>
    </cfRule>
  </conditionalFormatting>
  <conditionalFormatting sqref="G313">
    <cfRule type="cellIs" dxfId="1" priority="41" operator="lessThan">
      <formula>0</formula>
    </cfRule>
    <cfRule type="cellIs" dxfId="0" priority="42" operator="greaterThan">
      <formula>0</formula>
    </cfRule>
  </conditionalFormatting>
  <pageMargins left="0.39370078740157483" right="0.39370078740157483" top="0.59055118110236227" bottom="0.59055118110236227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DFF Budget 2019 - 2021</vt:lpstr>
      <vt:lpstr>2018-elite</vt:lpstr>
      <vt:lpstr>2018 Sommerlejr</vt:lpstr>
      <vt:lpstr>2017 Budget - sommerlejr</vt:lpstr>
      <vt:lpstr>DFF Budget 2014-15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Kokborg</dc:creator>
  <cp:lastModifiedBy>Martin Wiuff</cp:lastModifiedBy>
  <cp:lastPrinted>2018-03-03T11:14:44Z</cp:lastPrinted>
  <dcterms:created xsi:type="dcterms:W3CDTF">2014-11-02T18:54:09Z</dcterms:created>
  <dcterms:modified xsi:type="dcterms:W3CDTF">2019-04-11T23:17:48Z</dcterms:modified>
</cp:coreProperties>
</file>